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CP\_BCP Office Administration\_BCP_Team Member Forms\SteveP\Pratt Personal\Home\Town\FinCom\Excel Files 27Jun2019\"/>
    </mc:Choice>
  </mc:AlternateContent>
  <bookViews>
    <workbookView xWindow="0" yWindow="0" windowWidth="17280" windowHeight="9195" tabRatio="813"/>
  </bookViews>
  <sheets>
    <sheet name="New Growth Values vs CIP Shift" sheetId="1" r:id="rId1"/>
    <sheet name="TTL New Growth and Overrides" sheetId="3" r:id="rId2"/>
    <sheet name="Cherry Sheet" sheetId="2" r:id="rId3"/>
    <sheet name="Evaluations_5 Year Cycle 2020" sheetId="4" r:id="rId4"/>
  </sheets>
  <definedNames>
    <definedName name="_xlnm.Print_Area" localSheetId="0">'New Growth Values vs CIP Shift'!$A$1:$BG$37</definedName>
    <definedName name="_xlnm.Print_Area" localSheetId="1">'TTL New Growth and Overrides'!$A$6:$L$49</definedName>
    <definedName name="_xlnm.Print_Titles" localSheetId="1">'TTL New Growth and Overrides'!$1:$5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5" i="1" l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T25" i="1" l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I7" i="2" l="1"/>
  <c r="B6" i="3" l="1"/>
  <c r="AH25" i="1" l="1"/>
  <c r="AG25" i="1"/>
  <c r="AH24" i="1"/>
  <c r="AG24" i="1"/>
  <c r="AH15" i="1"/>
  <c r="AG15" i="1"/>
  <c r="AH14" i="1"/>
  <c r="AG14" i="1"/>
  <c r="AH13" i="1"/>
  <c r="AG13" i="1"/>
  <c r="AH12" i="1"/>
  <c r="AG12" i="1"/>
  <c r="AH11" i="1"/>
  <c r="AG11" i="1"/>
  <c r="AH10" i="1"/>
  <c r="AG10" i="1"/>
  <c r="AH9" i="1"/>
  <c r="AG9" i="1"/>
  <c r="AH8" i="1"/>
  <c r="AG8" i="1"/>
  <c r="AH7" i="1"/>
  <c r="AG7" i="1"/>
  <c r="AH6" i="1"/>
  <c r="AG6" i="1"/>
  <c r="Z25" i="1"/>
  <c r="Z24" i="1"/>
  <c r="Z15" i="1"/>
  <c r="Z14" i="1"/>
  <c r="Z12" i="1"/>
  <c r="Z11" i="1"/>
  <c r="Z10" i="1"/>
  <c r="Z9" i="1"/>
  <c r="Z8" i="1"/>
  <c r="Z7" i="1"/>
  <c r="Z6" i="1"/>
  <c r="AD25" i="1"/>
  <c r="AC25" i="1"/>
  <c r="AB25" i="1"/>
  <c r="AD24" i="1"/>
  <c r="AC24" i="1"/>
  <c r="AB24" i="1"/>
  <c r="AD23" i="1"/>
  <c r="AC23" i="1"/>
  <c r="AB23" i="1"/>
  <c r="AD22" i="1"/>
  <c r="AC22" i="1"/>
  <c r="AB22" i="1"/>
  <c r="AD21" i="1"/>
  <c r="AC21" i="1"/>
  <c r="AB21" i="1"/>
  <c r="AD20" i="1"/>
  <c r="AC20" i="1"/>
  <c r="AB20" i="1"/>
  <c r="AD19" i="1"/>
  <c r="AC19" i="1"/>
  <c r="AB19" i="1"/>
  <c r="AD18" i="1"/>
  <c r="AC18" i="1"/>
  <c r="AB18" i="1"/>
  <c r="AD17" i="1"/>
  <c r="AC17" i="1"/>
  <c r="AB17" i="1"/>
  <c r="AD16" i="1"/>
  <c r="AC16" i="1"/>
  <c r="AB16" i="1"/>
  <c r="AD15" i="1"/>
  <c r="AC15" i="1"/>
  <c r="AB15" i="1"/>
  <c r="AD14" i="1"/>
  <c r="AC14" i="1"/>
  <c r="AB14" i="1"/>
  <c r="AD12" i="1"/>
  <c r="AC12" i="1"/>
  <c r="AB12" i="1"/>
  <c r="AD11" i="1"/>
  <c r="AC11" i="1"/>
  <c r="AB11" i="1"/>
  <c r="AD10" i="1"/>
  <c r="AC10" i="1"/>
  <c r="AB10" i="1"/>
  <c r="AD9" i="1"/>
  <c r="AC9" i="1"/>
  <c r="AB9" i="1"/>
  <c r="AD8" i="1"/>
  <c r="AC8" i="1"/>
  <c r="AB8" i="1"/>
  <c r="AD7" i="1"/>
  <c r="AC7" i="1"/>
  <c r="AB7" i="1"/>
  <c r="AD6" i="1"/>
  <c r="AC6" i="1"/>
  <c r="AB6" i="1"/>
  <c r="AD13" i="1"/>
  <c r="AC13" i="1"/>
  <c r="AB13" i="1"/>
  <c r="Z13" i="1"/>
  <c r="P30" i="1" l="1"/>
  <c r="M30" i="1"/>
  <c r="C30" i="1"/>
  <c r="S26" i="1"/>
  <c r="S28" i="1" s="1"/>
  <c r="S33" i="1" s="1"/>
  <c r="G25" i="1"/>
  <c r="P28" i="1"/>
  <c r="P36" i="1" s="1"/>
  <c r="M28" i="1"/>
  <c r="C28" i="1"/>
  <c r="C36" i="1" s="1"/>
  <c r="M33" i="1" l="1"/>
  <c r="S30" i="1"/>
  <c r="P33" i="1"/>
  <c r="M36" i="1"/>
  <c r="C33" i="1"/>
  <c r="AK25" i="1" l="1"/>
  <c r="D25" i="1"/>
  <c r="E25" i="1" s="1"/>
  <c r="I25" i="1"/>
  <c r="J25" i="1" s="1"/>
  <c r="N25" i="1"/>
  <c r="O25" i="1" s="1"/>
  <c r="Q25" i="1"/>
  <c r="W25" i="1" l="1"/>
  <c r="Q28" i="1"/>
  <c r="Q29" i="1" s="1"/>
  <c r="R25" i="1"/>
  <c r="V25" i="1"/>
  <c r="Q33" i="1" l="1"/>
  <c r="Q36" i="1"/>
  <c r="AE25" i="1"/>
  <c r="X25" i="1"/>
  <c r="AI25" i="1" l="1"/>
  <c r="AM25" i="1" s="1"/>
  <c r="AN25" i="1" l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AZ25" i="1" s="1"/>
  <c r="BA25" i="1" s="1"/>
  <c r="BB25" i="1" s="1"/>
  <c r="BC25" i="1" s="1"/>
  <c r="BD25" i="1" s="1"/>
  <c r="BE25" i="1" s="1"/>
  <c r="BF25" i="1" s="1"/>
  <c r="BG25" i="1" s="1"/>
  <c r="AM27" i="1"/>
  <c r="AM31" i="1" s="1"/>
  <c r="AM33" i="1" s="1"/>
  <c r="F30" i="2" l="1"/>
  <c r="F29" i="2" l="1"/>
  <c r="E7" i="2"/>
  <c r="F7" i="2" s="1"/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24" i="1"/>
  <c r="J6" i="3"/>
  <c r="D6" i="3"/>
  <c r="C6" i="3"/>
  <c r="F28" i="2" l="1"/>
  <c r="F27" i="2"/>
  <c r="F26" i="2"/>
  <c r="F24" i="2"/>
  <c r="F25" i="2"/>
  <c r="E23" i="2"/>
  <c r="E22" i="2"/>
  <c r="E21" i="2"/>
  <c r="E20" i="2"/>
  <c r="E19" i="2"/>
  <c r="E17" i="2"/>
  <c r="E18" i="2"/>
  <c r="AK24" i="1" l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B27" i="1" l="1"/>
  <c r="AD27" i="1"/>
  <c r="AC27" i="1"/>
  <c r="W24" i="1"/>
  <c r="V24" i="1"/>
  <c r="AE24" i="1" s="1"/>
  <c r="W23" i="1"/>
  <c r="AH23" i="1" s="1"/>
  <c r="V23" i="1"/>
  <c r="W22" i="1"/>
  <c r="AH22" i="1" s="1"/>
  <c r="V22" i="1"/>
  <c r="W21" i="1"/>
  <c r="AH21" i="1" s="1"/>
  <c r="V21" i="1"/>
  <c r="W20" i="1"/>
  <c r="AH20" i="1" s="1"/>
  <c r="V20" i="1"/>
  <c r="W19" i="1"/>
  <c r="AH19" i="1" s="1"/>
  <c r="V19" i="1"/>
  <c r="W18" i="1"/>
  <c r="AH18" i="1" s="1"/>
  <c r="V18" i="1"/>
  <c r="W17" i="1"/>
  <c r="AH17" i="1" s="1"/>
  <c r="V17" i="1"/>
  <c r="W16" i="1"/>
  <c r="AH16" i="1" s="1"/>
  <c r="V16" i="1"/>
  <c r="W15" i="1"/>
  <c r="V15" i="1"/>
  <c r="AE15" i="1" s="1"/>
  <c r="W14" i="1"/>
  <c r="V14" i="1"/>
  <c r="AE14" i="1" s="1"/>
  <c r="W13" i="1"/>
  <c r="V13" i="1"/>
  <c r="AE13" i="1" s="1"/>
  <c r="W12" i="1"/>
  <c r="V12" i="1"/>
  <c r="AE12" i="1" s="1"/>
  <c r="W11" i="1"/>
  <c r="V11" i="1"/>
  <c r="AE11" i="1" s="1"/>
  <c r="W10" i="1"/>
  <c r="V10" i="1"/>
  <c r="AE10" i="1" s="1"/>
  <c r="W9" i="1"/>
  <c r="V9" i="1"/>
  <c r="AE9" i="1" s="1"/>
  <c r="W8" i="1"/>
  <c r="V8" i="1"/>
  <c r="AE8" i="1" s="1"/>
  <c r="W7" i="1"/>
  <c r="V7" i="1"/>
  <c r="W6" i="1"/>
  <c r="V6" i="1"/>
  <c r="AE6" i="1" s="1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18" i="3"/>
  <c r="J17" i="3"/>
  <c r="J16" i="3"/>
  <c r="J15" i="3"/>
  <c r="J14" i="3"/>
  <c r="J13" i="3"/>
  <c r="J12" i="3"/>
  <c r="J11" i="3"/>
  <c r="J10" i="3"/>
  <c r="J9" i="3"/>
  <c r="J8" i="3"/>
  <c r="J7" i="3"/>
  <c r="J26" i="3"/>
  <c r="J25" i="3"/>
  <c r="J24" i="3"/>
  <c r="J23" i="3"/>
  <c r="J22" i="3"/>
  <c r="J21" i="3"/>
  <c r="J20" i="3"/>
  <c r="J19" i="3"/>
  <c r="H38" i="3"/>
  <c r="G37" i="3"/>
  <c r="G36" i="3" s="1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AE23" i="1" l="1"/>
  <c r="Z23" i="1"/>
  <c r="AG23" i="1"/>
  <c r="Z22" i="1"/>
  <c r="AE22" i="1" s="1"/>
  <c r="AG22" i="1"/>
  <c r="AI22" i="1" s="1"/>
  <c r="AG21" i="1"/>
  <c r="Z21" i="1"/>
  <c r="AE21" i="1" s="1"/>
  <c r="AE20" i="1"/>
  <c r="AG20" i="1"/>
  <c r="AI20" i="1" s="1"/>
  <c r="Z20" i="1"/>
  <c r="Z19" i="1"/>
  <c r="AE19" i="1" s="1"/>
  <c r="AG19" i="1"/>
  <c r="Z18" i="1"/>
  <c r="AE18" i="1" s="1"/>
  <c r="AG18" i="1"/>
  <c r="AI18" i="1" s="1"/>
  <c r="AG17" i="1"/>
  <c r="Z17" i="1"/>
  <c r="AE17" i="1" s="1"/>
  <c r="Z16" i="1"/>
  <c r="AE16" i="1" s="1"/>
  <c r="AG16" i="1"/>
  <c r="W27" i="1"/>
  <c r="H37" i="3"/>
  <c r="H36" i="3"/>
  <c r="G35" i="3"/>
  <c r="V27" i="1"/>
  <c r="AI10" i="1"/>
  <c r="X6" i="1"/>
  <c r="AI14" i="1"/>
  <c r="AI11" i="1"/>
  <c r="AI15" i="1"/>
  <c r="AI19" i="1"/>
  <c r="AI23" i="1"/>
  <c r="AI8" i="1"/>
  <c r="AI12" i="1"/>
  <c r="AI16" i="1"/>
  <c r="AI24" i="1"/>
  <c r="X8" i="1"/>
  <c r="X10" i="1"/>
  <c r="X12" i="1"/>
  <c r="X14" i="1"/>
  <c r="X16" i="1"/>
  <c r="X18" i="1"/>
  <c r="X20" i="1"/>
  <c r="X22" i="1"/>
  <c r="X24" i="1"/>
  <c r="X7" i="1"/>
  <c r="X9" i="1"/>
  <c r="X11" i="1"/>
  <c r="X13" i="1"/>
  <c r="X15" i="1"/>
  <c r="X17" i="1"/>
  <c r="X19" i="1"/>
  <c r="X21" i="1"/>
  <c r="X23" i="1"/>
  <c r="AO23" i="1" l="1"/>
  <c r="Z27" i="1"/>
  <c r="AS19" i="1"/>
  <c r="G34" i="3"/>
  <c r="H35" i="3"/>
  <c r="AX14" i="1"/>
  <c r="AP22" i="1"/>
  <c r="AG27" i="1"/>
  <c r="X27" i="1"/>
  <c r="BC10" i="1"/>
  <c r="AT18" i="1"/>
  <c r="AH27" i="1"/>
  <c r="BA12" i="1"/>
  <c r="AR20" i="1"/>
  <c r="AI6" i="1"/>
  <c r="AE7" i="1"/>
  <c r="AE27" i="1" s="1"/>
  <c r="AI7" i="1"/>
  <c r="AI21" i="1"/>
  <c r="BE8" i="1"/>
  <c r="AI17" i="1"/>
  <c r="AN24" i="1"/>
  <c r="AN27" i="1" s="1"/>
  <c r="AW15" i="1"/>
  <c r="AI13" i="1"/>
  <c r="AV16" i="1"/>
  <c r="AI9" i="1"/>
  <c r="BB11" i="1"/>
  <c r="G33" i="3" l="1"/>
  <c r="H34" i="3"/>
  <c r="AQ22" i="1"/>
  <c r="AR22" i="1" s="1"/>
  <c r="AS22" i="1" s="1"/>
  <c r="AT22" i="1" s="1"/>
  <c r="AU22" i="1" s="1"/>
  <c r="AV22" i="1" s="1"/>
  <c r="AW22" i="1" s="1"/>
  <c r="AX22" i="1" s="1"/>
  <c r="AZ22" i="1" s="1"/>
  <c r="BA22" i="1" s="1"/>
  <c r="BB22" i="1" s="1"/>
  <c r="BC22" i="1" s="1"/>
  <c r="BD22" i="1" s="1"/>
  <c r="BE22" i="1" s="1"/>
  <c r="BF22" i="1" s="1"/>
  <c r="BG22" i="1" s="1"/>
  <c r="BD10" i="1"/>
  <c r="BE10" i="1" s="1"/>
  <c r="BF10" i="1" s="1"/>
  <c r="BG10" i="1" s="1"/>
  <c r="AZ14" i="1"/>
  <c r="BA14" i="1" s="1"/>
  <c r="BB14" i="1" s="1"/>
  <c r="BC14" i="1" s="1"/>
  <c r="BD14" i="1" s="1"/>
  <c r="BE14" i="1" s="1"/>
  <c r="BF14" i="1" s="1"/>
  <c r="BG14" i="1" s="1"/>
  <c r="AE29" i="1"/>
  <c r="AB29" i="1"/>
  <c r="AC29" i="1"/>
  <c r="AD29" i="1"/>
  <c r="AW16" i="1"/>
  <c r="AX16" i="1" s="1"/>
  <c r="AZ16" i="1" s="1"/>
  <c r="BA16" i="1" s="1"/>
  <c r="BB16" i="1" s="1"/>
  <c r="BC16" i="1" s="1"/>
  <c r="BD16" i="1" s="1"/>
  <c r="BE16" i="1" s="1"/>
  <c r="BF16" i="1" s="1"/>
  <c r="BG16" i="1" s="1"/>
  <c r="AP23" i="1"/>
  <c r="AQ23" i="1" s="1"/>
  <c r="AR23" i="1" s="1"/>
  <c r="AS23" i="1" s="1"/>
  <c r="AT23" i="1" s="1"/>
  <c r="AU23" i="1" s="1"/>
  <c r="AV23" i="1" s="1"/>
  <c r="AW23" i="1" s="1"/>
  <c r="AX23" i="1" s="1"/>
  <c r="AZ23" i="1" s="1"/>
  <c r="BA23" i="1" s="1"/>
  <c r="BB23" i="1" s="1"/>
  <c r="BC23" i="1" s="1"/>
  <c r="BD23" i="1" s="1"/>
  <c r="BE23" i="1" s="1"/>
  <c r="BF23" i="1" s="1"/>
  <c r="BG23" i="1" s="1"/>
  <c r="AS20" i="1"/>
  <c r="AT20" i="1" s="1"/>
  <c r="AU20" i="1" s="1"/>
  <c r="AV20" i="1" s="1"/>
  <c r="AW20" i="1" s="1"/>
  <c r="AX20" i="1" s="1"/>
  <c r="AZ20" i="1" s="1"/>
  <c r="BA20" i="1" s="1"/>
  <c r="BB20" i="1" s="1"/>
  <c r="BC20" i="1" s="1"/>
  <c r="BD20" i="1" s="1"/>
  <c r="BE20" i="1" s="1"/>
  <c r="BF20" i="1" s="1"/>
  <c r="BG20" i="1" s="1"/>
  <c r="AU18" i="1"/>
  <c r="AV18" i="1" s="1"/>
  <c r="AW18" i="1" s="1"/>
  <c r="AX18" i="1" s="1"/>
  <c r="AZ18" i="1" s="1"/>
  <c r="BA18" i="1" s="1"/>
  <c r="BB18" i="1" s="1"/>
  <c r="BC18" i="1" s="1"/>
  <c r="BD18" i="1" s="1"/>
  <c r="BE18" i="1" s="1"/>
  <c r="BF18" i="1" s="1"/>
  <c r="BG18" i="1" s="1"/>
  <c r="Z29" i="1"/>
  <c r="AX15" i="1"/>
  <c r="AZ15" i="1" s="1"/>
  <c r="BA15" i="1" s="1"/>
  <c r="BB15" i="1" s="1"/>
  <c r="BC15" i="1" s="1"/>
  <c r="BD15" i="1" s="1"/>
  <c r="BE15" i="1" s="1"/>
  <c r="BF15" i="1" s="1"/>
  <c r="BG15" i="1" s="1"/>
  <c r="BF8" i="1"/>
  <c r="BG8" i="1" s="1"/>
  <c r="AI27" i="1"/>
  <c r="AI29" i="1" s="1"/>
  <c r="BF7" i="1"/>
  <c r="BB12" i="1"/>
  <c r="BC12" i="1" s="1"/>
  <c r="BD12" i="1" s="1"/>
  <c r="BE12" i="1" s="1"/>
  <c r="BF12" i="1" s="1"/>
  <c r="BG12" i="1" s="1"/>
  <c r="X29" i="1"/>
  <c r="V29" i="1"/>
  <c r="BC11" i="1"/>
  <c r="BD11" i="1" s="1"/>
  <c r="BE11" i="1" s="1"/>
  <c r="BF11" i="1" s="1"/>
  <c r="BG11" i="1" s="1"/>
  <c r="AT19" i="1"/>
  <c r="AU19" i="1" s="1"/>
  <c r="AV19" i="1" s="1"/>
  <c r="AW19" i="1" s="1"/>
  <c r="AX19" i="1" s="1"/>
  <c r="AZ19" i="1" s="1"/>
  <c r="BA19" i="1" s="1"/>
  <c r="BB19" i="1" s="1"/>
  <c r="BC19" i="1" s="1"/>
  <c r="BD19" i="1" s="1"/>
  <c r="BE19" i="1" s="1"/>
  <c r="BF19" i="1" s="1"/>
  <c r="BG19" i="1" s="1"/>
  <c r="AN31" i="1"/>
  <c r="AN33" i="1" s="1"/>
  <c r="AN35" i="1"/>
  <c r="AQ21" i="1"/>
  <c r="W29" i="1"/>
  <c r="AU17" i="1"/>
  <c r="AZ13" i="1"/>
  <c r="AO24" i="1"/>
  <c r="AP24" i="1" s="1"/>
  <c r="AQ24" i="1" s="1"/>
  <c r="AR24" i="1" s="1"/>
  <c r="AS24" i="1" s="1"/>
  <c r="AT24" i="1" s="1"/>
  <c r="AU24" i="1" s="1"/>
  <c r="AV24" i="1" s="1"/>
  <c r="AW24" i="1" s="1"/>
  <c r="AX24" i="1" s="1"/>
  <c r="AZ24" i="1" s="1"/>
  <c r="BA24" i="1" s="1"/>
  <c r="BB24" i="1" s="1"/>
  <c r="BC24" i="1" s="1"/>
  <c r="BD24" i="1" s="1"/>
  <c r="BE24" i="1" s="1"/>
  <c r="BF24" i="1" s="1"/>
  <c r="BG24" i="1" s="1"/>
  <c r="BG6" i="1" l="1"/>
  <c r="AJ27" i="1"/>
  <c r="AJ29" i="1" s="1"/>
  <c r="G32" i="3"/>
  <c r="H32" i="3" s="1"/>
  <c r="H33" i="3"/>
  <c r="AG29" i="1"/>
  <c r="AO27" i="1"/>
  <c r="AO35" i="1" s="1"/>
  <c r="AP27" i="1"/>
  <c r="AR21" i="1"/>
  <c r="AQ27" i="1"/>
  <c r="BG7" i="1"/>
  <c r="BA13" i="1"/>
  <c r="AV17" i="1"/>
  <c r="AH29" i="1"/>
  <c r="BD9" i="1"/>
  <c r="G31" i="3" l="1"/>
  <c r="BE9" i="1"/>
  <c r="BB13" i="1"/>
  <c r="AW17" i="1"/>
  <c r="AS21" i="1"/>
  <c r="AR27" i="1"/>
  <c r="AO31" i="1"/>
  <c r="AO33" i="1" s="1"/>
  <c r="AP35" i="1"/>
  <c r="AP31" i="1"/>
  <c r="AP33" i="1" s="1"/>
  <c r="AQ31" i="1"/>
  <c r="AQ33" i="1" s="1"/>
  <c r="G30" i="3" l="1"/>
  <c r="H31" i="3"/>
  <c r="AX17" i="1"/>
  <c r="AT21" i="1"/>
  <c r="AS27" i="1"/>
  <c r="BC13" i="1"/>
  <c r="BF9" i="1"/>
  <c r="AQ35" i="1"/>
  <c r="AR31" i="1"/>
  <c r="AR33" i="1" s="1"/>
  <c r="G29" i="3" l="1"/>
  <c r="H30" i="3"/>
  <c r="BG9" i="1"/>
  <c r="AU21" i="1"/>
  <c r="AT27" i="1"/>
  <c r="BD13" i="1"/>
  <c r="AZ17" i="1"/>
  <c r="AR35" i="1"/>
  <c r="G28" i="3" l="1"/>
  <c r="H29" i="3"/>
  <c r="BA17" i="1"/>
  <c r="AV21" i="1"/>
  <c r="AU27" i="1"/>
  <c r="BE13" i="1"/>
  <c r="AS35" i="1"/>
  <c r="AS31" i="1"/>
  <c r="AS33" i="1" s="1"/>
  <c r="G27" i="3" l="1"/>
  <c r="H28" i="3"/>
  <c r="AW21" i="1"/>
  <c r="AV27" i="1"/>
  <c r="BF13" i="1"/>
  <c r="BB17" i="1"/>
  <c r="AT35" i="1"/>
  <c r="AT31" i="1"/>
  <c r="AT33" i="1" s="1"/>
  <c r="G26" i="3" l="1"/>
  <c r="H27" i="3"/>
  <c r="BG13" i="1"/>
  <c r="BC17" i="1"/>
  <c r="AX21" i="1"/>
  <c r="AW27" i="1"/>
  <c r="AU35" i="1"/>
  <c r="AU31" i="1"/>
  <c r="AU33" i="1" s="1"/>
  <c r="AV31" i="1"/>
  <c r="AV33" i="1" s="1"/>
  <c r="G25" i="3" l="1"/>
  <c r="H26" i="3"/>
  <c r="BD17" i="1"/>
  <c r="AZ21" i="1"/>
  <c r="AX27" i="1"/>
  <c r="AV35" i="1"/>
  <c r="AW31" i="1"/>
  <c r="AW33" i="1" s="1"/>
  <c r="G24" i="3" l="1"/>
  <c r="H25" i="3"/>
  <c r="BA21" i="1"/>
  <c r="AZ27" i="1"/>
  <c r="BE17" i="1"/>
  <c r="AW35" i="1"/>
  <c r="AX31" i="1"/>
  <c r="AX33" i="1" s="1"/>
  <c r="G23" i="3" l="1"/>
  <c r="H24" i="3"/>
  <c r="BF17" i="1"/>
  <c r="BB21" i="1"/>
  <c r="BA27" i="1"/>
  <c r="AX35" i="1"/>
  <c r="G22" i="3" l="1"/>
  <c r="H23" i="3"/>
  <c r="BC21" i="1"/>
  <c r="BB27" i="1"/>
  <c r="BG17" i="1"/>
  <c r="AZ35" i="1"/>
  <c r="AZ31" i="1"/>
  <c r="AZ33" i="1" s="1"/>
  <c r="G21" i="3" l="1"/>
  <c r="H22" i="3"/>
  <c r="BD21" i="1"/>
  <c r="BC27" i="1"/>
  <c r="BA35" i="1"/>
  <c r="BA31" i="1"/>
  <c r="BA33" i="1" s="1"/>
  <c r="G20" i="3" l="1"/>
  <c r="H21" i="3"/>
  <c r="BE21" i="1"/>
  <c r="BD27" i="1"/>
  <c r="BB35" i="1"/>
  <c r="BB31" i="1"/>
  <c r="BB33" i="1" s="1"/>
  <c r="G19" i="3" l="1"/>
  <c r="H20" i="3"/>
  <c r="BF21" i="1"/>
  <c r="BE27" i="1"/>
  <c r="BC35" i="1"/>
  <c r="BC31" i="1"/>
  <c r="BC33" i="1" s="1"/>
  <c r="G18" i="3" l="1"/>
  <c r="H19" i="3"/>
  <c r="BG21" i="1"/>
  <c r="BG27" i="1" s="1"/>
  <c r="BF27" i="1"/>
  <c r="BD35" i="1"/>
  <c r="BD31" i="1"/>
  <c r="BD33" i="1" s="1"/>
  <c r="G17" i="3" l="1"/>
  <c r="H18" i="3"/>
  <c r="BE35" i="1"/>
  <c r="BE31" i="1"/>
  <c r="BE33" i="1" s="1"/>
  <c r="BG31" i="1"/>
  <c r="BG33" i="1" s="1"/>
  <c r="G16" i="3" l="1"/>
  <c r="H17" i="3"/>
  <c r="BF35" i="1"/>
  <c r="BG35" i="1" s="1"/>
  <c r="BF31" i="1"/>
  <c r="BF33" i="1" s="1"/>
  <c r="H10" i="1"/>
  <c r="J10" i="1" s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0" i="1"/>
  <c r="R9" i="1"/>
  <c r="R8" i="1"/>
  <c r="R7" i="1"/>
  <c r="R6" i="1"/>
  <c r="O10" i="1"/>
  <c r="O9" i="1"/>
  <c r="O8" i="1"/>
  <c r="O7" i="1"/>
  <c r="O6" i="1"/>
  <c r="R11" i="1"/>
  <c r="E10" i="1"/>
  <c r="E9" i="1"/>
  <c r="E8" i="1"/>
  <c r="E7" i="1"/>
  <c r="E6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N28" i="1"/>
  <c r="N29" i="1" s="1"/>
  <c r="I28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D28" i="1"/>
  <c r="D29" i="1" s="1"/>
  <c r="G15" i="3" l="1"/>
  <c r="H16" i="3"/>
  <c r="I33" i="1"/>
  <c r="N33" i="1"/>
  <c r="N36" i="1"/>
  <c r="D33" i="1"/>
  <c r="D36" i="1"/>
  <c r="E28" i="1"/>
  <c r="E29" i="1" s="1"/>
  <c r="R28" i="1"/>
  <c r="R29" i="1" s="1"/>
  <c r="G10" i="1"/>
  <c r="O28" i="1"/>
  <c r="O29" i="1" s="1"/>
  <c r="J8" i="2"/>
  <c r="J7" i="2"/>
  <c r="G8" i="2"/>
  <c r="G7" i="2"/>
  <c r="D8" i="2"/>
  <c r="D7" i="2"/>
  <c r="K8" i="2"/>
  <c r="E8" i="2"/>
  <c r="B8" i="2" s="1"/>
  <c r="H8" i="2"/>
  <c r="E16" i="2"/>
  <c r="B16" i="2" s="1"/>
  <c r="E11" i="2"/>
  <c r="B11" i="2" s="1"/>
  <c r="E1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23" i="2"/>
  <c r="B22" i="2"/>
  <c r="B21" i="2"/>
  <c r="B20" i="2"/>
  <c r="B19" i="2"/>
  <c r="B18" i="2"/>
  <c r="B17" i="2"/>
  <c r="B1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3" i="2"/>
  <c r="G22" i="2"/>
  <c r="G21" i="2"/>
  <c r="G20" i="2"/>
  <c r="G19" i="2"/>
  <c r="G18" i="2"/>
  <c r="G17" i="2"/>
  <c r="G16" i="2"/>
  <c r="G15" i="2"/>
  <c r="D22" i="2"/>
  <c r="D21" i="2"/>
  <c r="D20" i="2"/>
  <c r="D19" i="2"/>
  <c r="D18" i="2"/>
  <c r="D17" i="2"/>
  <c r="D16" i="2"/>
  <c r="D15" i="2"/>
  <c r="H15" i="2"/>
  <c r="H16" i="2"/>
  <c r="H17" i="2"/>
  <c r="H18" i="2"/>
  <c r="H19" i="2"/>
  <c r="H20" i="2"/>
  <c r="H21" i="2"/>
  <c r="H22" i="2"/>
  <c r="H23" i="2"/>
  <c r="H24" i="2"/>
  <c r="H26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J44" i="2"/>
  <c r="J43" i="2"/>
  <c r="J42" i="2"/>
  <c r="K23" i="2"/>
  <c r="K24" i="2"/>
  <c r="K26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L43" i="2" s="1"/>
  <c r="K45" i="2"/>
  <c r="K46" i="2"/>
  <c r="K14" i="2"/>
  <c r="K15" i="2"/>
  <c r="K16" i="2"/>
  <c r="K17" i="2"/>
  <c r="K18" i="2"/>
  <c r="K19" i="2"/>
  <c r="L18" i="2" s="1"/>
  <c r="K20" i="2"/>
  <c r="K21" i="2"/>
  <c r="K22" i="2"/>
  <c r="L22" i="2" s="1"/>
  <c r="L14" i="2"/>
  <c r="L16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13" i="2"/>
  <c r="J14" i="2"/>
  <c r="J15" i="2"/>
  <c r="J16" i="2"/>
  <c r="J17" i="2"/>
  <c r="J18" i="2"/>
  <c r="J19" i="2"/>
  <c r="J20" i="2"/>
  <c r="J21" i="2"/>
  <c r="J22" i="2"/>
  <c r="J23" i="2"/>
  <c r="J24" i="2"/>
  <c r="H10" i="2"/>
  <c r="H11" i="2"/>
  <c r="H12" i="2"/>
  <c r="H13" i="2"/>
  <c r="H14" i="2"/>
  <c r="K13" i="2"/>
  <c r="L13" i="2" s="1"/>
  <c r="D14" i="2"/>
  <c r="D13" i="2"/>
  <c r="D12" i="2"/>
  <c r="D11" i="2"/>
  <c r="D10" i="2"/>
  <c r="D9" i="2"/>
  <c r="G14" i="2"/>
  <c r="B14" i="2"/>
  <c r="E14" i="2"/>
  <c r="G13" i="2"/>
  <c r="K12" i="2"/>
  <c r="E13" i="2"/>
  <c r="B13" i="2" s="1"/>
  <c r="J12" i="2"/>
  <c r="J11" i="2"/>
  <c r="J10" i="2"/>
  <c r="J9" i="2"/>
  <c r="G11" i="2"/>
  <c r="G12" i="2"/>
  <c r="E12" i="2"/>
  <c r="B12" i="2" s="1"/>
  <c r="K11" i="2"/>
  <c r="G10" i="2"/>
  <c r="E10" i="2"/>
  <c r="E9" i="2"/>
  <c r="B9" i="2" s="1"/>
  <c r="H9" i="2"/>
  <c r="K10" i="2"/>
  <c r="K9" i="2"/>
  <c r="L9" i="2" s="1"/>
  <c r="G9" i="2"/>
  <c r="B10" i="2"/>
  <c r="H7" i="2"/>
  <c r="K7" i="2"/>
  <c r="L7" i="2" s="1"/>
  <c r="G14" i="3" l="1"/>
  <c r="H15" i="3"/>
  <c r="R33" i="1"/>
  <c r="R36" i="1"/>
  <c r="O33" i="1"/>
  <c r="O36" i="1"/>
  <c r="E33" i="1"/>
  <c r="E36" i="1"/>
  <c r="L31" i="2"/>
  <c r="L8" i="2"/>
  <c r="L12" i="2"/>
  <c r="L15" i="2"/>
  <c r="L40" i="2"/>
  <c r="L21" i="2"/>
  <c r="L17" i="2"/>
  <c r="L37" i="2"/>
  <c r="L33" i="2"/>
  <c r="L39" i="2"/>
  <c r="L34" i="2"/>
  <c r="H9" i="1"/>
  <c r="J9" i="1" s="1"/>
  <c r="G9" i="1"/>
  <c r="L32" i="2"/>
  <c r="L30" i="2"/>
  <c r="L29" i="2"/>
  <c r="L28" i="2"/>
  <c r="L23" i="2"/>
  <c r="L20" i="2"/>
  <c r="L44" i="2"/>
  <c r="L42" i="2"/>
  <c r="L41" i="2"/>
  <c r="L38" i="2"/>
  <c r="L36" i="2"/>
  <c r="L35" i="2"/>
  <c r="L19" i="2"/>
  <c r="L11" i="2"/>
  <c r="L10" i="2"/>
  <c r="G13" i="3" l="1"/>
  <c r="H14" i="3"/>
  <c r="H8" i="1"/>
  <c r="J8" i="1" s="1"/>
  <c r="G8" i="1"/>
  <c r="G12" i="3" l="1"/>
  <c r="H13" i="3"/>
  <c r="H7" i="1"/>
  <c r="J7" i="1" s="1"/>
  <c r="G7" i="1"/>
  <c r="G11" i="3" l="1"/>
  <c r="H12" i="3"/>
  <c r="F30" i="1"/>
  <c r="F28" i="1"/>
  <c r="F33" i="1" s="1"/>
  <c r="H6" i="1"/>
  <c r="G6" i="1"/>
  <c r="G28" i="1" s="1"/>
  <c r="G10" i="3" l="1"/>
  <c r="H11" i="3"/>
  <c r="H30" i="1"/>
  <c r="H28" i="1"/>
  <c r="I29" i="1" s="1"/>
  <c r="J6" i="1"/>
  <c r="J28" i="1" s="1"/>
  <c r="J29" i="1" l="1"/>
  <c r="G9" i="3"/>
  <c r="H10" i="3"/>
  <c r="J33" i="1"/>
  <c r="J36" i="1"/>
  <c r="H33" i="1"/>
  <c r="H36" i="1"/>
  <c r="I36" i="1"/>
  <c r="G24" i="2"/>
  <c r="H25" i="2"/>
  <c r="G25" i="2"/>
  <c r="K25" i="2"/>
  <c r="L24" i="2" s="1"/>
  <c r="G27" i="2"/>
  <c r="G26" i="2"/>
  <c r="H27" i="2"/>
  <c r="K27" i="2"/>
  <c r="L27" i="2" s="1"/>
  <c r="G8" i="3" l="1"/>
  <c r="H9" i="3"/>
  <c r="L25" i="2"/>
  <c r="L26" i="2"/>
  <c r="G7" i="3" l="1"/>
  <c r="H8" i="3"/>
  <c r="G6" i="3" l="1"/>
  <c r="H6" i="3" s="1"/>
  <c r="H7" i="3"/>
  <c r="K26" i="3" l="1"/>
  <c r="F26" i="3"/>
  <c r="E27" i="3"/>
  <c r="F27" i="3" s="1"/>
  <c r="E25" i="3"/>
  <c r="F25" i="3" s="1"/>
  <c r="L26" i="3" l="1"/>
  <c r="K25" i="3"/>
  <c r="E24" i="3"/>
  <c r="E23" i="3" s="1"/>
  <c r="K23" i="3" s="1"/>
  <c r="K27" i="3"/>
  <c r="E28" i="3"/>
  <c r="L23" i="3" l="1"/>
  <c r="L25" i="3"/>
  <c r="M25" i="3"/>
  <c r="L27" i="3"/>
  <c r="M26" i="3"/>
  <c r="K24" i="3"/>
  <c r="M23" i="3" s="1"/>
  <c r="E22" i="3"/>
  <c r="E21" i="3" s="1"/>
  <c r="F24" i="3"/>
  <c r="F23" i="3"/>
  <c r="F28" i="3"/>
  <c r="K28" i="3"/>
  <c r="M27" i="3" s="1"/>
  <c r="E29" i="3"/>
  <c r="K22" i="3"/>
  <c r="L22" i="3" l="1"/>
  <c r="M22" i="3"/>
  <c r="L28" i="3"/>
  <c r="F22" i="3"/>
  <c r="L24" i="3"/>
  <c r="M24" i="3"/>
  <c r="K21" i="3"/>
  <c r="F21" i="3"/>
  <c r="E20" i="3"/>
  <c r="E30" i="3"/>
  <c r="F29" i="3"/>
  <c r="K29" i="3"/>
  <c r="M28" i="3" s="1"/>
  <c r="L21" i="3" l="1"/>
  <c r="M21" i="3"/>
  <c r="L29" i="3"/>
  <c r="K30" i="3"/>
  <c r="M29" i="3" s="1"/>
  <c r="E31" i="3"/>
  <c r="F30" i="3"/>
  <c r="K20" i="3"/>
  <c r="E19" i="3"/>
  <c r="F20" i="3"/>
  <c r="L20" i="3" l="1"/>
  <c r="M20" i="3"/>
  <c r="L30" i="3"/>
  <c r="F31" i="3"/>
  <c r="E32" i="3"/>
  <c r="K31" i="3"/>
  <c r="M30" i="3" s="1"/>
  <c r="F19" i="3"/>
  <c r="K19" i="3"/>
  <c r="E18" i="3"/>
  <c r="L31" i="3" l="1"/>
  <c r="L19" i="3"/>
  <c r="M19" i="3"/>
  <c r="F18" i="3"/>
  <c r="E17" i="3"/>
  <c r="K18" i="3"/>
  <c r="F32" i="3"/>
  <c r="K32" i="3"/>
  <c r="M31" i="3" s="1"/>
  <c r="E33" i="3"/>
  <c r="L32" i="3" l="1"/>
  <c r="L18" i="3"/>
  <c r="M18" i="3"/>
  <c r="F33" i="3"/>
  <c r="E34" i="3"/>
  <c r="K33" i="3"/>
  <c r="F17" i="3"/>
  <c r="K17" i="3"/>
  <c r="E16" i="3"/>
  <c r="L33" i="3" l="1"/>
  <c r="M32" i="3"/>
  <c r="L17" i="3"/>
  <c r="M17" i="3"/>
  <c r="K16" i="3"/>
  <c r="E15" i="3"/>
  <c r="F16" i="3"/>
  <c r="K34" i="3"/>
  <c r="M33" i="3" s="1"/>
  <c r="F34" i="3"/>
  <c r="E35" i="3"/>
  <c r="L34" i="3" l="1"/>
  <c r="L16" i="3"/>
  <c r="M16" i="3"/>
  <c r="F35" i="3"/>
  <c r="K35" i="3"/>
  <c r="E36" i="3"/>
  <c r="F15" i="3"/>
  <c r="K15" i="3"/>
  <c r="E14" i="3"/>
  <c r="L35" i="3" l="1"/>
  <c r="M34" i="3"/>
  <c r="L15" i="3"/>
  <c r="M15" i="3"/>
  <c r="E37" i="3"/>
  <c r="F36" i="3"/>
  <c r="K36" i="3"/>
  <c r="M35" i="3" s="1"/>
  <c r="K14" i="3"/>
  <c r="F14" i="3"/>
  <c r="E13" i="3"/>
  <c r="L36" i="3" l="1"/>
  <c r="L14" i="3"/>
  <c r="M14" i="3"/>
  <c r="F13" i="3"/>
  <c r="E12" i="3"/>
  <c r="K13" i="3"/>
  <c r="K37" i="3"/>
  <c r="M36" i="3" s="1"/>
  <c r="E38" i="3"/>
  <c r="F37" i="3"/>
  <c r="L37" i="3" l="1"/>
  <c r="L13" i="3"/>
  <c r="M13" i="3"/>
  <c r="F12" i="3"/>
  <c r="K12" i="3"/>
  <c r="E11" i="3"/>
  <c r="F38" i="3"/>
  <c r="E39" i="3"/>
  <c r="K38" i="3"/>
  <c r="L38" i="3" l="1"/>
  <c r="M37" i="3"/>
  <c r="L12" i="3"/>
  <c r="M12" i="3"/>
  <c r="F11" i="3"/>
  <c r="E10" i="3"/>
  <c r="K11" i="3"/>
  <c r="F39" i="3"/>
  <c r="E40" i="3"/>
  <c r="K39" i="3"/>
  <c r="L39" i="3" l="1"/>
  <c r="M38" i="3"/>
  <c r="L11" i="3"/>
  <c r="M11" i="3"/>
  <c r="F10" i="3"/>
  <c r="K10" i="3"/>
  <c r="E9" i="3"/>
  <c r="K40" i="3"/>
  <c r="M39" i="3" s="1"/>
  <c r="E41" i="3"/>
  <c r="F40" i="3"/>
  <c r="L40" i="3" l="1"/>
  <c r="L10" i="3"/>
  <c r="M10" i="3"/>
  <c r="K9" i="3"/>
  <c r="F9" i="3"/>
  <c r="E8" i="3"/>
  <c r="F41" i="3"/>
  <c r="E42" i="3"/>
  <c r="K41" i="3"/>
  <c r="L41" i="3" l="1"/>
  <c r="M40" i="3"/>
  <c r="L9" i="3"/>
  <c r="M9" i="3"/>
  <c r="E7" i="3"/>
  <c r="F8" i="3"/>
  <c r="K8" i="3"/>
  <c r="F42" i="3"/>
  <c r="E43" i="3"/>
  <c r="K42" i="3"/>
  <c r="L42" i="3" l="1"/>
  <c r="M41" i="3"/>
  <c r="L8" i="3"/>
  <c r="M8" i="3"/>
  <c r="K43" i="3"/>
  <c r="L43" i="3" s="1"/>
  <c r="F43" i="3"/>
  <c r="E44" i="3"/>
  <c r="F44" i="3" s="1"/>
  <c r="F7" i="3"/>
  <c r="E6" i="3"/>
  <c r="K7" i="3"/>
  <c r="M42" i="3" l="1"/>
  <c r="L7" i="3"/>
  <c r="M7" i="3"/>
  <c r="F6" i="3"/>
  <c r="K6" i="3"/>
  <c r="L6" i="3" l="1"/>
  <c r="M6" i="3"/>
</calcChain>
</file>

<file path=xl/comments1.xml><?xml version="1.0" encoding="utf-8"?>
<comments xmlns="http://schemas.openxmlformats.org/spreadsheetml/2006/main">
  <authors>
    <author>Steve Pratt</author>
  </authors>
  <commentList>
    <comment ref="B7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L7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U7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L7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L10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U10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L10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L13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U13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L13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L16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U16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U19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L19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U22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L22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B25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L25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U25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L25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</commentList>
</comments>
</file>

<file path=xl/comments2.xml><?xml version="1.0" encoding="utf-8"?>
<comments xmlns="http://schemas.openxmlformats.org/spreadsheetml/2006/main">
  <authors>
    <author>Steve Pratt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23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26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29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38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</commentList>
</comments>
</file>

<file path=xl/comments3.xml><?xml version="1.0" encoding="utf-8"?>
<comments xmlns="http://schemas.openxmlformats.org/spreadsheetml/2006/main">
  <authors>
    <author>Steve Pratt</author>
  </authors>
  <commentList>
    <comment ref="A7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27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30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33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36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  <comment ref="A39" authorId="0" shapeId="0">
      <text>
        <r>
          <rPr>
            <sz val="9"/>
            <color indexed="81"/>
            <rFont val="Tahoma"/>
            <family val="2"/>
          </rPr>
          <t>Revaluation Year</t>
        </r>
      </text>
    </comment>
  </commentList>
</comments>
</file>

<file path=xl/sharedStrings.xml><?xml version="1.0" encoding="utf-8"?>
<sst xmlns="http://schemas.openxmlformats.org/spreadsheetml/2006/main" count="269" uniqueCount="168">
  <si>
    <t>B</t>
  </si>
  <si>
    <t>C</t>
  </si>
  <si>
    <t>E</t>
  </si>
  <si>
    <t>G</t>
  </si>
  <si>
    <t>J</t>
  </si>
  <si>
    <t>M</t>
  </si>
  <si>
    <t>Fiscal Year</t>
  </si>
  <si>
    <t>Total Taxable Assessed Values</t>
  </si>
  <si>
    <t>Gain or (Loss) from Prior Year without New Growth</t>
  </si>
  <si>
    <t>Gain or (Loss) from Prior Year</t>
  </si>
  <si>
    <t>Other Commercial Value</t>
  </si>
  <si>
    <t>Total Industrial Value</t>
  </si>
  <si>
    <t>Total Personal Property Value</t>
  </si>
  <si>
    <t>Net Aid to Total Tax Levy</t>
  </si>
  <si>
    <t>Net Aid + Total Tax Levy</t>
  </si>
  <si>
    <t>2020e</t>
  </si>
  <si>
    <t>Gross Receipts</t>
  </si>
  <si>
    <t>Net State Aid</t>
  </si>
  <si>
    <t>Total Tax Levy Amount</t>
  </si>
  <si>
    <t>Charter School Sending Tuition</t>
  </si>
  <si>
    <t>Town of Carver</t>
  </si>
  <si>
    <t>New growth added to TTL per dls</t>
  </si>
  <si>
    <t>Annual +2.5% Increase</t>
  </si>
  <si>
    <t>Percent of TTL</t>
  </si>
  <si>
    <t>Total Tax Levy (TTL)</t>
  </si>
  <si>
    <t>Percent Change</t>
  </si>
  <si>
    <t xml:space="preserve">Cumulative Impact of New Growth </t>
  </si>
  <si>
    <t>FY1988 $1.639 million Operational Override</t>
  </si>
  <si>
    <t>Annual Debt Service Amounts</t>
  </si>
  <si>
    <t>R/O New Growth Tax Levy</t>
  </si>
  <si>
    <t>R/O New Growth Value</t>
  </si>
  <si>
    <t>CIP New Growth Tax Levy</t>
  </si>
  <si>
    <t>Total  New Growth Tax Levy</t>
  </si>
  <si>
    <t>CIP New Growth Value</t>
  </si>
  <si>
    <t>Difference</t>
  </si>
  <si>
    <t>Based upon the Prior Year Single Tax Rate</t>
  </si>
  <si>
    <t>Total  New Growth Value</t>
  </si>
  <si>
    <t>Prior FY R/O Tax Rate</t>
  </si>
  <si>
    <t>Prior FY CIP Tax Rate</t>
  </si>
  <si>
    <t>Prior FY Single Tax Rate</t>
  </si>
  <si>
    <t>https://www.mass.gov/files/documents/2019/02/13/listofvaluationcontractors.pdf</t>
  </si>
  <si>
    <t>https://www.mass.gov/service-details/certification-of-real-and-personal-property-values</t>
  </si>
  <si>
    <t>https://www.mass.gov/media/1582996/download</t>
  </si>
  <si>
    <t>Annually the division publishes guidelines for the development of a minimum reassessment program.  The current guidelines can be found below:</t>
  </si>
  <si>
    <t>Certification Standards</t>
  </si>
  <si>
    <t>Additional Resources</t>
  </si>
  <si>
    <t>Data Collection Using New Technologies Best Practice</t>
  </si>
  <si>
    <t>PP New Growth Tax Levy</t>
  </si>
  <si>
    <t>I New Growth Tax Levy</t>
  </si>
  <si>
    <t>C New Growth Tax Levy</t>
  </si>
  <si>
    <t>New Growth added to Total Tax Levy Based upon approved Prior Year Tax Rates</t>
  </si>
  <si>
    <t>Totals</t>
  </si>
  <si>
    <t>Total Residential/Open Space Value</t>
  </si>
  <si>
    <t>Community</t>
  </si>
  <si>
    <t>Jur</t>
  </si>
  <si>
    <t>Cty</t>
  </si>
  <si>
    <t xml:space="preserve">Revised Cert Year </t>
  </si>
  <si>
    <t>Abington</t>
  </si>
  <si>
    <t>001</t>
  </si>
  <si>
    <t>PL</t>
  </si>
  <si>
    <t>FY21</t>
  </si>
  <si>
    <t>Bridgewater</t>
  </si>
  <si>
    <t>042</t>
  </si>
  <si>
    <t>FY19</t>
  </si>
  <si>
    <t>Brockton</t>
  </si>
  <si>
    <t>044</t>
  </si>
  <si>
    <t>Carver</t>
  </si>
  <si>
    <t>052</t>
  </si>
  <si>
    <t>FY20</t>
  </si>
  <si>
    <t>Duxbury</t>
  </si>
  <si>
    <t>082</t>
  </si>
  <si>
    <t>East Bridgewater</t>
  </si>
  <si>
    <t>083</t>
  </si>
  <si>
    <t>Halifax</t>
  </si>
  <si>
    <t>118</t>
  </si>
  <si>
    <t>FY22</t>
  </si>
  <si>
    <t>Hanover</t>
  </si>
  <si>
    <t>122</t>
  </si>
  <si>
    <t>FY18</t>
  </si>
  <si>
    <t>Hanson</t>
  </si>
  <si>
    <t>123</t>
  </si>
  <si>
    <t>Hingham</t>
  </si>
  <si>
    <t>131</t>
  </si>
  <si>
    <t>Hull</t>
  </si>
  <si>
    <t>142</t>
  </si>
  <si>
    <t>Kingston</t>
  </si>
  <si>
    <t>145</t>
  </si>
  <si>
    <t>Lakeville</t>
  </si>
  <si>
    <t>146</t>
  </si>
  <si>
    <t>Marion</t>
  </si>
  <si>
    <t>169</t>
  </si>
  <si>
    <t>Marshfield</t>
  </si>
  <si>
    <t>171</t>
  </si>
  <si>
    <t>Mattapoisett</t>
  </si>
  <si>
    <t>173</t>
  </si>
  <si>
    <t>Middleborough</t>
  </si>
  <si>
    <t>182</t>
  </si>
  <si>
    <t>Norwell</t>
  </si>
  <si>
    <t>219</t>
  </si>
  <si>
    <t>Pembroke</t>
  </si>
  <si>
    <t>231</t>
  </si>
  <si>
    <t>Plymouth</t>
  </si>
  <si>
    <t>239</t>
  </si>
  <si>
    <t>Plympton</t>
  </si>
  <si>
    <t>240</t>
  </si>
  <si>
    <t>Rochester</t>
  </si>
  <si>
    <t>250</t>
  </si>
  <si>
    <t>Rockland</t>
  </si>
  <si>
    <t>251</t>
  </si>
  <si>
    <t>Scituate</t>
  </si>
  <si>
    <t>264</t>
  </si>
  <si>
    <t>Wareham</t>
  </si>
  <si>
    <t>310</t>
  </si>
  <si>
    <t>West Bridgewater</t>
  </si>
  <si>
    <t>322</t>
  </si>
  <si>
    <t>Whitman</t>
  </si>
  <si>
    <t>338</t>
  </si>
  <si>
    <r>
      <t>New 5 year certification cycle FY2018 through FY2022</t>
    </r>
    <r>
      <rPr>
        <sz val="11"/>
        <color rgb="FF141414"/>
        <rFont val="Calibri"/>
        <family val="2"/>
        <scheme val="minor"/>
      </rPr>
      <t> and </t>
    </r>
    <r>
      <rPr>
        <b/>
        <sz val="11"/>
        <color rgb="FF14558F"/>
        <rFont val="Calibri"/>
        <family val="2"/>
        <scheme val="minor"/>
      </rPr>
      <t>map - Community certification report and instructions</t>
    </r>
  </si>
  <si>
    <t>https://www.mass.gov/lists/cherry-sheet-estimates</t>
  </si>
  <si>
    <t>Cumulative Impact to Tax Levy</t>
  </si>
  <si>
    <t>Total Change</t>
  </si>
  <si>
    <t>Net Change in TLL</t>
  </si>
  <si>
    <t>Fiscal Years</t>
  </si>
  <si>
    <t>Residential New Growth Value</t>
  </si>
  <si>
    <t>Commercial (C) New Growth Value</t>
  </si>
  <si>
    <t>Industrial (I) New Growth Value</t>
  </si>
  <si>
    <t>Personal Property (PP) New Growth Value</t>
  </si>
  <si>
    <t>Net Total Tax Levy change from New Growth 2000 to 2019 with a Single Tax Rate instead of a Split Tax Rate</t>
  </si>
  <si>
    <t>Shift Factor</t>
  </si>
  <si>
    <t>Percent</t>
  </si>
  <si>
    <t>Percentage</t>
  </si>
  <si>
    <t>Change from 1999</t>
  </si>
  <si>
    <t>of Total Change</t>
  </si>
  <si>
    <t>Within Class Change</t>
  </si>
  <si>
    <t>Fiscal Year Cherry Sheet and Total Tax Levy Summary</t>
  </si>
  <si>
    <t>Other Assessments and Prior Year Adjustments</t>
  </si>
  <si>
    <t>Change over Prior Year</t>
  </si>
  <si>
    <t>A</t>
  </si>
  <si>
    <t>D=A-B-C</t>
  </si>
  <si>
    <t>F=D+F</t>
  </si>
  <si>
    <r>
      <t>C=A-B-A</t>
    </r>
    <r>
      <rPr>
        <vertAlign val="superscript"/>
        <sz val="11"/>
        <color theme="1"/>
        <rFont val="Calibri"/>
        <family val="2"/>
        <scheme val="minor"/>
      </rPr>
      <t>py</t>
    </r>
  </si>
  <si>
    <t>D</t>
  </si>
  <si>
    <r>
      <t>E=D-D</t>
    </r>
    <r>
      <rPr>
        <vertAlign val="superscript"/>
        <sz val="11"/>
        <color theme="1"/>
        <rFont val="Calibri"/>
        <family val="2"/>
        <scheme val="minor"/>
      </rPr>
      <t>py</t>
    </r>
  </si>
  <si>
    <t>F</t>
  </si>
  <si>
    <r>
      <t>H=F-G-F</t>
    </r>
    <r>
      <rPr>
        <vertAlign val="superscript"/>
        <sz val="11"/>
        <color theme="1"/>
        <rFont val="Calibri"/>
        <family val="2"/>
        <scheme val="minor"/>
      </rPr>
      <t>py</t>
    </r>
  </si>
  <si>
    <t>I</t>
  </si>
  <si>
    <r>
      <t>K=I-J-I</t>
    </r>
    <r>
      <rPr>
        <vertAlign val="superscript"/>
        <sz val="11"/>
        <color theme="1"/>
        <rFont val="Calibri"/>
        <family val="2"/>
        <scheme val="minor"/>
      </rPr>
      <t>py</t>
    </r>
  </si>
  <si>
    <t>L</t>
  </si>
  <si>
    <r>
      <t>N=L-M-L</t>
    </r>
    <r>
      <rPr>
        <vertAlign val="superscript"/>
        <sz val="11"/>
        <color theme="1"/>
        <rFont val="Calibri"/>
        <family val="2"/>
        <scheme val="minor"/>
      </rPr>
      <t>py</t>
    </r>
  </si>
  <si>
    <t>O=A+D+F+I+L</t>
  </si>
  <si>
    <t>Total Chapter Land (61,61A and 61B) Value</t>
  </si>
  <si>
    <t>Net Total Tax Levy change from New Growth 2000 to 2011 with a Single Tax Rate instead of a Split Tax Rate</t>
  </si>
  <si>
    <t>2020He</t>
  </si>
  <si>
    <r>
      <t>Capital and Debt Exclusions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(1983-1987; 2015)</t>
    </r>
  </si>
  <si>
    <t>Amount added to TTL</t>
  </si>
  <si>
    <t>Change over prior Fiscal Year</t>
  </si>
  <si>
    <t>New NStar substation off Main Street (Route 58) =&gt;</t>
  </si>
  <si>
    <t>1987*</t>
  </si>
  <si>
    <t>1986*</t>
  </si>
  <si>
    <t>1985*</t>
  </si>
  <si>
    <t>1984*</t>
  </si>
  <si>
    <t>1983*</t>
  </si>
  <si>
    <t>1982*</t>
  </si>
  <si>
    <t>* With enactment of Proposition 2 1/2 for FY1982, Massachusetts requires property to be assessed at 100% of full and fair cash value during a Triennial (every 3 years) Revaluation. In Carver this has occurred for fiscal years:  1988, 1991, 1994, 1997, 2000, 2003, 2006, 2009, 2012, 2015 and 2018. Next scheduled revaluation is FY2020 and then becoming a Quinquennial (every 5 years) Revaluation. From FY1982 - 1987, tax rates were based on 50% of full and fair cash value of Real and Personal Property.</t>
  </si>
  <si>
    <t xml:space="preserve">Cherry Sheet - General Fund and Chapter 70 Aid </t>
  </si>
  <si>
    <t>New Growth Value Impact to the Total Taxable Assessed Values in Consideration for CIP Shift "Split" Tax Rate</t>
  </si>
  <si>
    <t>New Growth Value Impact by Class to the Total Taxable Assessed Values in Consideration for CIP Shift "Split" Tax Rate</t>
  </si>
  <si>
    <t>Components of  Total Tax Levy - New Growth Value Impact in Consideration for CIP Shift "Split"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</si>
</sst>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sz val="10"/>
      <color rgb="FF0070C0"/>
      <name val="Segoe UI"/>
      <family val="2"/>
    </font>
    <font>
      <b/>
      <sz val="10"/>
      <color rgb="FF0070C0"/>
      <name val="Segoe UI"/>
      <family val="2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41414"/>
      <name val="Calibri"/>
      <family val="2"/>
      <scheme val="minor"/>
    </font>
    <font>
      <b/>
      <sz val="11"/>
      <color rgb="FF14558F"/>
      <name val="Calibri"/>
      <family val="2"/>
      <scheme val="minor"/>
    </font>
    <font>
      <b/>
      <sz val="11"/>
      <color rgb="FF141414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name val="Segoe U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88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165" fontId="0" fillId="0" borderId="0" xfId="2" applyNumberFormat="1" applyFont="1" applyAlignment="1">
      <alignment horizontal="center"/>
    </xf>
    <xf numFmtId="165" fontId="0" fillId="0" borderId="6" xfId="2" applyNumberFormat="1" applyFont="1" applyBorder="1" applyAlignment="1">
      <alignment horizontal="center"/>
    </xf>
    <xf numFmtId="164" fontId="0" fillId="0" borderId="0" xfId="1" applyNumberFormat="1" applyFont="1"/>
    <xf numFmtId="0" fontId="0" fillId="3" borderId="11" xfId="0" applyFill="1" applyBorder="1" applyAlignment="1">
      <alignment horizontal="center"/>
    </xf>
    <xf numFmtId="165" fontId="0" fillId="3" borderId="8" xfId="2" applyNumberFormat="1" applyFont="1" applyFill="1" applyBorder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3" fontId="0" fillId="0" borderId="0" xfId="0" applyNumberFormat="1" applyBorder="1"/>
    <xf numFmtId="0" fontId="0" fillId="4" borderId="12" xfId="0" applyFill="1" applyBorder="1" applyAlignment="1">
      <alignment horizontal="center"/>
    </xf>
    <xf numFmtId="165" fontId="0" fillId="4" borderId="13" xfId="2" applyNumberFormat="1" applyFont="1" applyFill="1" applyBorder="1" applyAlignment="1">
      <alignment horizontal="center"/>
    </xf>
    <xf numFmtId="165" fontId="0" fillId="4" borderId="14" xfId="2" applyNumberFormat="1" applyFont="1" applyFill="1" applyBorder="1" applyAlignment="1">
      <alignment horizontal="center"/>
    </xf>
    <xf numFmtId="165" fontId="0" fillId="4" borderId="15" xfId="2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5" fontId="0" fillId="4" borderId="0" xfId="2" applyNumberFormat="1" applyFont="1" applyFill="1" applyBorder="1" applyAlignment="1">
      <alignment horizontal="center"/>
    </xf>
    <xf numFmtId="165" fontId="0" fillId="4" borderId="6" xfId="2" applyNumberFormat="1" applyFont="1" applyFill="1" applyBorder="1" applyAlignment="1">
      <alignment horizontal="center"/>
    </xf>
    <xf numFmtId="165" fontId="0" fillId="4" borderId="16" xfId="2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165" fontId="0" fillId="4" borderId="18" xfId="2" applyNumberFormat="1" applyFont="1" applyFill="1" applyBorder="1" applyAlignment="1">
      <alignment horizontal="center"/>
    </xf>
    <xf numFmtId="165" fontId="0" fillId="4" borderId="19" xfId="2" applyNumberFormat="1" applyFont="1" applyFill="1" applyBorder="1" applyAlignment="1">
      <alignment horizontal="center"/>
    </xf>
    <xf numFmtId="165" fontId="0" fillId="4" borderId="20" xfId="2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21" xfId="2" applyNumberFormat="1" applyFont="1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164" fontId="0" fillId="3" borderId="1" xfId="1" applyNumberFormat="1" applyFont="1" applyFill="1" applyBorder="1"/>
    <xf numFmtId="164" fontId="6" fillId="3" borderId="1" xfId="1" applyNumberFormat="1" applyFont="1" applyFill="1" applyBorder="1" applyAlignment="1">
      <alignment horizontal="right" wrapText="1"/>
    </xf>
    <xf numFmtId="165" fontId="0" fillId="3" borderId="1" xfId="2" applyNumberFormat="1" applyFont="1" applyFill="1" applyBorder="1" applyAlignment="1">
      <alignment horizontal="center"/>
    </xf>
    <xf numFmtId="3" fontId="0" fillId="3" borderId="1" xfId="0" applyNumberFormat="1" applyFill="1" applyBorder="1"/>
    <xf numFmtId="0" fontId="2" fillId="7" borderId="2" xfId="0" applyFont="1" applyFill="1" applyBorder="1" applyAlignment="1">
      <alignment horizontal="center" wrapText="1"/>
    </xf>
    <xf numFmtId="0" fontId="2" fillId="7" borderId="23" xfId="0" applyFont="1" applyFill="1" applyBorder="1" applyAlignment="1">
      <alignment horizontal="center" wrapText="1"/>
    </xf>
    <xf numFmtId="0" fontId="2" fillId="7" borderId="22" xfId="0" applyFont="1" applyFill="1" applyBorder="1" applyAlignment="1">
      <alignment horizontal="center" wrapText="1"/>
    </xf>
    <xf numFmtId="0" fontId="2" fillId="7" borderId="24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Alignment="1"/>
    <xf numFmtId="0" fontId="0" fillId="0" borderId="3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3" fontId="0" fillId="0" borderId="5" xfId="0" applyNumberFormat="1" applyBorder="1"/>
    <xf numFmtId="3" fontId="5" fillId="2" borderId="0" xfId="0" applyNumberFormat="1" applyFont="1" applyFill="1" applyBorder="1"/>
    <xf numFmtId="3" fontId="0" fillId="0" borderId="6" xfId="0" applyNumberFormat="1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3" fontId="2" fillId="0" borderId="0" xfId="0" applyNumberFormat="1" applyFont="1"/>
    <xf numFmtId="0" fontId="2" fillId="0" borderId="0" xfId="0" applyFont="1"/>
    <xf numFmtId="38" fontId="2" fillId="0" borderId="0" xfId="0" applyNumberFormat="1" applyFont="1"/>
    <xf numFmtId="38" fontId="8" fillId="0" borderId="0" xfId="0" applyNumberFormat="1" applyFont="1"/>
    <xf numFmtId="38" fontId="4" fillId="0" borderId="0" xfId="0" applyNumberFormat="1" applyFont="1"/>
    <xf numFmtId="38" fontId="0" fillId="0" borderId="0" xfId="0" applyNumberFormat="1"/>
    <xf numFmtId="38" fontId="0" fillId="7" borderId="0" xfId="0" applyNumberFormat="1" applyFill="1"/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38" fontId="8" fillId="0" borderId="5" xfId="0" applyNumberFormat="1" applyFont="1" applyBorder="1"/>
    <xf numFmtId="38" fontId="0" fillId="0" borderId="0" xfId="0" applyNumberFormat="1" applyBorder="1"/>
    <xf numFmtId="38" fontId="4" fillId="0" borderId="0" xfId="0" applyNumberFormat="1" applyFont="1" applyBorder="1"/>
    <xf numFmtId="38" fontId="0" fillId="0" borderId="6" xfId="0" applyNumberFormat="1" applyBorder="1"/>
    <xf numFmtId="38" fontId="0" fillId="7" borderId="0" xfId="0" applyNumberFormat="1" applyFill="1" applyBorder="1"/>
    <xf numFmtId="38" fontId="0" fillId="7" borderId="6" xfId="0" applyNumberFormat="1" applyFill="1" applyBorder="1"/>
    <xf numFmtId="38" fontId="2" fillId="0" borderId="5" xfId="0" applyNumberFormat="1" applyFont="1" applyBorder="1"/>
    <xf numFmtId="38" fontId="2" fillId="0" borderId="0" xfId="0" applyNumberFormat="1" applyFont="1" applyBorder="1"/>
    <xf numFmtId="0" fontId="2" fillId="0" borderId="5" xfId="0" applyFont="1" applyBorder="1"/>
    <xf numFmtId="0" fontId="2" fillId="0" borderId="0" xfId="0" applyFont="1" applyBorder="1"/>
    <xf numFmtId="38" fontId="8" fillId="0" borderId="0" xfId="0" applyNumberFormat="1" applyFont="1" applyBorder="1"/>
    <xf numFmtId="38" fontId="8" fillId="0" borderId="5" xfId="0" applyNumberFormat="1" applyFont="1" applyFill="1" applyBorder="1"/>
    <xf numFmtId="38" fontId="8" fillId="0" borderId="0" xfId="0" applyNumberFormat="1" applyFont="1" applyFill="1" applyBorder="1"/>
    <xf numFmtId="164" fontId="0" fillId="0" borderId="0" xfId="0" applyNumberFormat="1"/>
    <xf numFmtId="0" fontId="0" fillId="7" borderId="2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38" fontId="0" fillId="0" borderId="2" xfId="0" applyNumberFormat="1" applyBorder="1"/>
    <xf numFmtId="165" fontId="0" fillId="0" borderId="2" xfId="2" applyNumberFormat="1" applyFont="1" applyBorder="1" applyAlignment="1">
      <alignment horizontal="center"/>
    </xf>
    <xf numFmtId="38" fontId="4" fillId="0" borderId="2" xfId="0" applyNumberFormat="1" applyFont="1" applyBorder="1"/>
    <xf numFmtId="0" fontId="0" fillId="7" borderId="2" xfId="0" applyFill="1" applyBorder="1"/>
    <xf numFmtId="38" fontId="0" fillId="7" borderId="2" xfId="0" applyNumberFormat="1" applyFill="1" applyBorder="1"/>
    <xf numFmtId="165" fontId="2" fillId="0" borderId="2" xfId="2" applyNumberFormat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165" fontId="2" fillId="0" borderId="5" xfId="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165" fontId="0" fillId="0" borderId="8" xfId="2" applyNumberFormat="1" applyFont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7" borderId="2" xfId="0" applyFont="1" applyFill="1" applyBorder="1"/>
    <xf numFmtId="0" fontId="0" fillId="7" borderId="2" xfId="0" applyFill="1" applyBorder="1" applyAlignment="1">
      <alignment horizontal="center" wrapText="1"/>
    </xf>
    <xf numFmtId="38" fontId="8" fillId="0" borderId="3" xfId="0" applyNumberFormat="1" applyFont="1" applyBorder="1"/>
    <xf numFmtId="38" fontId="0" fillId="0" borderId="4" xfId="0" applyNumberFormat="1" applyBorder="1"/>
    <xf numFmtId="38" fontId="8" fillId="0" borderId="7" xfId="0" applyNumberFormat="1" applyFont="1" applyBorder="1"/>
    <xf numFmtId="0" fontId="0" fillId="0" borderId="22" xfId="0" applyBorder="1" applyAlignment="1">
      <alignment horizontal="center" wrapText="1"/>
    </xf>
    <xf numFmtId="38" fontId="8" fillId="0" borderId="23" xfId="0" applyNumberFormat="1" applyFont="1" applyBorder="1"/>
    <xf numFmtId="38" fontId="4" fillId="0" borderId="23" xfId="0" applyNumberFormat="1" applyFont="1" applyBorder="1"/>
    <xf numFmtId="38" fontId="0" fillId="0" borderId="23" xfId="0" applyNumberFormat="1" applyBorder="1"/>
    <xf numFmtId="38" fontId="8" fillId="0" borderId="22" xfId="0" applyNumberFormat="1" applyFont="1" applyBorder="1"/>
    <xf numFmtId="38" fontId="0" fillId="0" borderId="24" xfId="0" applyNumberFormat="1" applyBorder="1"/>
    <xf numFmtId="38" fontId="4" fillId="0" borderId="23" xfId="0" applyNumberFormat="1" applyFont="1" applyBorder="1" applyAlignment="1">
      <alignment horizontal="right"/>
    </xf>
    <xf numFmtId="38" fontId="8" fillId="0" borderId="10" xfId="0" applyNumberFormat="1" applyFont="1" applyBorder="1"/>
    <xf numFmtId="38" fontId="8" fillId="0" borderId="2" xfId="0" applyNumberFormat="1" applyFont="1" applyBorder="1"/>
    <xf numFmtId="38" fontId="8" fillId="0" borderId="11" xfId="0" applyNumberFormat="1" applyFont="1" applyBorder="1"/>
    <xf numFmtId="0" fontId="11" fillId="0" borderId="0" xfId="3"/>
    <xf numFmtId="0" fontId="2" fillId="7" borderId="23" xfId="0" applyFont="1" applyFill="1" applyBorder="1" applyAlignment="1">
      <alignment horizontal="center" wrapText="1"/>
    </xf>
    <xf numFmtId="3" fontId="0" fillId="0" borderId="23" xfId="0" applyNumberFormat="1" applyBorder="1"/>
    <xf numFmtId="3" fontId="0" fillId="0" borderId="23" xfId="1" applyNumberFormat="1" applyFont="1" applyBorder="1"/>
    <xf numFmtId="3" fontId="2" fillId="0" borderId="23" xfId="0" applyNumberFormat="1" applyFont="1" applyBorder="1"/>
    <xf numFmtId="0" fontId="0" fillId="0" borderId="0" xfId="0" applyFont="1"/>
    <xf numFmtId="2" fontId="0" fillId="0" borderId="0" xfId="0" applyNumberFormat="1" applyAlignment="1">
      <alignment horizontal="center"/>
    </xf>
    <xf numFmtId="0" fontId="0" fillId="11" borderId="10" xfId="0" applyFill="1" applyBorder="1" applyAlignment="1">
      <alignment horizontal="center" wrapText="1"/>
    </xf>
    <xf numFmtId="38" fontId="4" fillId="0" borderId="0" xfId="0" applyNumberFormat="1" applyFont="1" applyFill="1"/>
    <xf numFmtId="0" fontId="13" fillId="12" borderId="0" xfId="0" applyFont="1" applyFill="1" applyAlignment="1">
      <alignment vertical="top" wrapText="1"/>
    </xf>
    <xf numFmtId="0" fontId="12" fillId="12" borderId="0" xfId="0" applyFont="1" applyFill="1" applyAlignment="1">
      <alignment horizontal="center" vertical="top" wrapText="1"/>
    </xf>
    <xf numFmtId="0" fontId="12" fillId="9" borderId="0" xfId="0" applyFont="1" applyFill="1" applyBorder="1" applyAlignment="1">
      <alignment horizontal="center" vertical="top" wrapText="1"/>
    </xf>
    <xf numFmtId="0" fontId="0" fillId="10" borderId="0" xfId="0" applyFont="1" applyFill="1"/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0" fontId="11" fillId="0" borderId="0" xfId="3" applyFont="1" applyAlignment="1">
      <alignment horizontal="left" vertical="center"/>
    </xf>
    <xf numFmtId="0" fontId="11" fillId="0" borderId="0" xfId="3" applyFont="1"/>
    <xf numFmtId="0" fontId="0" fillId="0" borderId="0" xfId="0" applyFont="1" applyAlignment="1"/>
    <xf numFmtId="0" fontId="11" fillId="0" borderId="0" xfId="3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3" applyFont="1" applyBorder="1" applyAlignment="1"/>
    <xf numFmtId="165" fontId="0" fillId="7" borderId="0" xfId="2" applyNumberFormat="1" applyFont="1" applyFill="1" applyAlignment="1">
      <alignment horizontal="center"/>
    </xf>
    <xf numFmtId="165" fontId="0" fillId="7" borderId="21" xfId="2" applyNumberFormat="1" applyFont="1" applyFill="1" applyBorder="1" applyAlignment="1">
      <alignment horizontal="center"/>
    </xf>
    <xf numFmtId="165" fontId="0" fillId="7" borderId="0" xfId="2" applyNumberFormat="1" applyFont="1" applyFill="1" applyBorder="1" applyAlignment="1">
      <alignment horizontal="center"/>
    </xf>
    <xf numFmtId="38" fontId="4" fillId="0" borderId="0" xfId="0" applyNumberFormat="1" applyFont="1" applyFill="1" applyBorder="1"/>
    <xf numFmtId="0" fontId="19" fillId="7" borderId="2" xfId="0" applyFont="1" applyFill="1" applyBorder="1" applyAlignment="1">
      <alignment horizontal="center" vertical="center" wrapText="1"/>
    </xf>
    <xf numFmtId="38" fontId="2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2" xfId="0" applyFill="1" applyBorder="1" applyAlignment="1">
      <alignment horizontal="center" wrapText="1"/>
    </xf>
    <xf numFmtId="0" fontId="2" fillId="7" borderId="24" xfId="0" applyFont="1" applyFill="1" applyBorder="1" applyAlignment="1">
      <alignment horizontal="center" wrapText="1"/>
    </xf>
    <xf numFmtId="0" fontId="0" fillId="3" borderId="1" xfId="0" applyFill="1" applyBorder="1"/>
    <xf numFmtId="0" fontId="2" fillId="7" borderId="25" xfId="0" applyFont="1" applyFill="1" applyBorder="1" applyAlignment="1">
      <alignment horizontal="center" wrapText="1"/>
    </xf>
    <xf numFmtId="9" fontId="0" fillId="0" borderId="26" xfId="2" applyNumberFormat="1" applyFont="1" applyBorder="1" applyAlignment="1">
      <alignment horizontal="center"/>
    </xf>
    <xf numFmtId="9" fontId="0" fillId="4" borderId="28" xfId="2" applyNumberFormat="1" applyFont="1" applyFill="1" applyBorder="1" applyAlignment="1">
      <alignment horizontal="center"/>
    </xf>
    <xf numFmtId="9" fontId="0" fillId="4" borderId="26" xfId="2" applyNumberFormat="1" applyFont="1" applyFill="1" applyBorder="1" applyAlignment="1">
      <alignment horizontal="center"/>
    </xf>
    <xf numFmtId="9" fontId="0" fillId="4" borderId="29" xfId="2" applyNumberFormat="1" applyFont="1" applyFill="1" applyBorder="1" applyAlignment="1">
      <alignment horizontal="center"/>
    </xf>
    <xf numFmtId="9" fontId="0" fillId="0" borderId="30" xfId="2" applyNumberFormat="1" applyFont="1" applyBorder="1" applyAlignment="1">
      <alignment horizontal="center"/>
    </xf>
    <xf numFmtId="9" fontId="0" fillId="3" borderId="29" xfId="2" applyNumberFormat="1" applyFont="1" applyFill="1" applyBorder="1" applyAlignment="1">
      <alignment horizontal="center"/>
    </xf>
    <xf numFmtId="38" fontId="0" fillId="0" borderId="0" xfId="0" applyNumberFormat="1" applyFill="1" applyBorder="1"/>
    <xf numFmtId="0" fontId="0" fillId="0" borderId="23" xfId="0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7" borderId="22" xfId="0" applyFill="1" applyBorder="1" applyAlignment="1">
      <alignment horizontal="center" wrapText="1"/>
    </xf>
    <xf numFmtId="0" fontId="0" fillId="5" borderId="24" xfId="0" applyFill="1" applyBorder="1" applyAlignment="1">
      <alignment horizontal="center" wrapText="1"/>
    </xf>
    <xf numFmtId="0" fontId="0" fillId="7" borderId="31" xfId="0" applyFill="1" applyBorder="1" applyAlignment="1">
      <alignment horizontal="center" wrapText="1"/>
    </xf>
    <xf numFmtId="0" fontId="0" fillId="7" borderId="32" xfId="0" applyFill="1" applyBorder="1" applyAlignment="1">
      <alignment horizontal="center" wrapText="1"/>
    </xf>
    <xf numFmtId="0" fontId="2" fillId="7" borderId="33" xfId="0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3" fontId="2" fillId="0" borderId="16" xfId="0" applyNumberFormat="1" applyFont="1" applyBorder="1"/>
    <xf numFmtId="3" fontId="2" fillId="0" borderId="36" xfId="0" applyNumberFormat="1" applyFont="1" applyBorder="1"/>
    <xf numFmtId="0" fontId="0" fillId="0" borderId="34" xfId="0" applyBorder="1"/>
    <xf numFmtId="0" fontId="0" fillId="0" borderId="16" xfId="0" applyBorder="1"/>
    <xf numFmtId="165" fontId="2" fillId="0" borderId="0" xfId="2" applyNumberFormat="1" applyFont="1" applyFill="1" applyBorder="1" applyAlignment="1">
      <alignment horizontal="center"/>
    </xf>
    <xf numFmtId="165" fontId="2" fillId="0" borderId="20" xfId="2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1" applyNumberFormat="1" applyFont="1" applyBorder="1"/>
    <xf numFmtId="3" fontId="2" fillId="0" borderId="0" xfId="0" applyNumberFormat="1" applyFont="1" applyBorder="1"/>
    <xf numFmtId="0" fontId="0" fillId="7" borderId="11" xfId="0" applyFill="1" applyBorder="1" applyAlignment="1">
      <alignment horizontal="center" wrapText="1"/>
    </xf>
    <xf numFmtId="0" fontId="10" fillId="0" borderId="0" xfId="0" applyFont="1" applyAlignment="1"/>
    <xf numFmtId="38" fontId="0" fillId="0" borderId="0" xfId="0" applyNumberFormat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164" fontId="0" fillId="0" borderId="0" xfId="0" applyNumberFormat="1" applyFont="1"/>
    <xf numFmtId="3" fontId="2" fillId="0" borderId="34" xfId="0" applyNumberFormat="1" applyFont="1" applyBorder="1"/>
    <xf numFmtId="0" fontId="2" fillId="0" borderId="37" xfId="0" applyFont="1" applyBorder="1"/>
    <xf numFmtId="165" fontId="2" fillId="0" borderId="18" xfId="2" applyNumberFormat="1" applyFont="1" applyBorder="1" applyAlignment="1">
      <alignment horizontal="center"/>
    </xf>
    <xf numFmtId="0" fontId="2" fillId="0" borderId="18" xfId="0" applyFont="1" applyBorder="1"/>
    <xf numFmtId="0" fontId="2" fillId="0" borderId="0" xfId="0" applyFont="1" applyAlignment="1">
      <alignment horizontal="left"/>
    </xf>
    <xf numFmtId="38" fontId="0" fillId="0" borderId="8" xfId="0" applyNumberFormat="1" applyBorder="1"/>
    <xf numFmtId="0" fontId="0" fillId="0" borderId="11" xfId="0" applyBorder="1" applyAlignment="1">
      <alignment horizontal="center"/>
    </xf>
    <xf numFmtId="165" fontId="0" fillId="7" borderId="1" xfId="2" applyNumberFormat="1" applyFont="1" applyFill="1" applyBorder="1" applyAlignment="1">
      <alignment horizontal="center"/>
    </xf>
    <xf numFmtId="9" fontId="0" fillId="0" borderId="38" xfId="2" applyNumberFormat="1" applyFont="1" applyBorder="1" applyAlignment="1">
      <alignment horizontal="center"/>
    </xf>
    <xf numFmtId="38" fontId="0" fillId="0" borderId="0" xfId="0" applyNumberFormat="1" applyFont="1"/>
    <xf numFmtId="38" fontId="0" fillId="0" borderId="24" xfId="0" applyNumberFormat="1" applyFont="1" applyBorder="1"/>
    <xf numFmtId="0" fontId="20" fillId="5" borderId="2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vertical="center"/>
    </xf>
    <xf numFmtId="38" fontId="6" fillId="0" borderId="0" xfId="1" applyNumberFormat="1" applyFont="1" applyFill="1" applyAlignment="1">
      <alignment horizontal="right" wrapText="1"/>
    </xf>
    <xf numFmtId="38" fontId="0" fillId="0" borderId="0" xfId="1" applyNumberFormat="1" applyFont="1"/>
    <xf numFmtId="38" fontId="4" fillId="0" borderId="0" xfId="1" applyNumberFormat="1" applyFont="1"/>
    <xf numFmtId="38" fontId="4" fillId="4" borderId="13" xfId="1" applyNumberFormat="1" applyFont="1" applyFill="1" applyBorder="1"/>
    <xf numFmtId="38" fontId="6" fillId="4" borderId="13" xfId="1" applyNumberFormat="1" applyFont="1" applyFill="1" applyBorder="1" applyAlignment="1">
      <alignment horizontal="right" wrapText="1"/>
    </xf>
    <xf numFmtId="38" fontId="4" fillId="4" borderId="0" xfId="1" applyNumberFormat="1" applyFont="1" applyFill="1" applyBorder="1"/>
    <xf numFmtId="38" fontId="6" fillId="4" borderId="0" xfId="1" applyNumberFormat="1" applyFont="1" applyFill="1" applyBorder="1" applyAlignment="1">
      <alignment horizontal="right" wrapText="1"/>
    </xf>
    <xf numFmtId="38" fontId="4" fillId="4" borderId="18" xfId="1" applyNumberFormat="1" applyFont="1" applyFill="1" applyBorder="1"/>
    <xf numFmtId="38" fontId="6" fillId="4" borderId="18" xfId="1" applyNumberFormat="1" applyFont="1" applyFill="1" applyBorder="1" applyAlignment="1">
      <alignment horizontal="right" wrapText="1"/>
    </xf>
    <xf numFmtId="38" fontId="0" fillId="0" borderId="21" xfId="1" applyNumberFormat="1" applyFont="1" applyBorder="1"/>
    <xf numFmtId="38" fontId="6" fillId="0" borderId="21" xfId="1" applyNumberFormat="1" applyFont="1" applyFill="1" applyBorder="1" applyAlignment="1">
      <alignment horizontal="right" wrapText="1"/>
    </xf>
    <xf numFmtId="38" fontId="0" fillId="0" borderId="0" xfId="1" applyNumberFormat="1" applyFont="1" applyBorder="1"/>
    <xf numFmtId="38" fontId="6" fillId="0" borderId="0" xfId="1" applyNumberFormat="1" applyFont="1" applyFill="1" applyBorder="1" applyAlignment="1">
      <alignment horizontal="right" wrapText="1"/>
    </xf>
    <xf numFmtId="38" fontId="0" fillId="0" borderId="1" xfId="1" applyNumberFormat="1" applyFont="1" applyBorder="1"/>
    <xf numFmtId="38" fontId="6" fillId="0" borderId="1" xfId="1" applyNumberFormat="1" applyFont="1" applyFill="1" applyBorder="1" applyAlignment="1">
      <alignment horizontal="right" wrapText="1"/>
    </xf>
    <xf numFmtId="38" fontId="18" fillId="0" borderId="0" xfId="1" applyNumberFormat="1" applyFont="1" applyFill="1" applyAlignment="1">
      <alignment horizontal="right" wrapText="1"/>
    </xf>
    <xf numFmtId="38" fontId="18" fillId="4" borderId="13" xfId="1" applyNumberFormat="1" applyFont="1" applyFill="1" applyBorder="1" applyAlignment="1">
      <alignment horizontal="right" wrapText="1"/>
    </xf>
    <xf numFmtId="38" fontId="18" fillId="4" borderId="0" xfId="1" applyNumberFormat="1" applyFont="1" applyFill="1" applyBorder="1" applyAlignment="1">
      <alignment horizontal="right" wrapText="1"/>
    </xf>
    <xf numFmtId="38" fontId="18" fillId="4" borderId="18" xfId="1" applyNumberFormat="1" applyFont="1" applyFill="1" applyBorder="1" applyAlignment="1">
      <alignment horizontal="right" wrapText="1"/>
    </xf>
    <xf numFmtId="165" fontId="0" fillId="7" borderId="8" xfId="2" applyNumberFormat="1" applyFont="1" applyFill="1" applyBorder="1" applyAlignment="1">
      <alignment horizontal="center"/>
    </xf>
    <xf numFmtId="38" fontId="4" fillId="0" borderId="0" xfId="1" applyNumberFormat="1" applyFont="1" applyBorder="1"/>
    <xf numFmtId="38" fontId="4" fillId="0" borderId="21" xfId="1" applyNumberFormat="1" applyFont="1" applyBorder="1"/>
    <xf numFmtId="38" fontId="4" fillId="0" borderId="1" xfId="1" applyNumberFormat="1" applyFont="1" applyBorder="1"/>
    <xf numFmtId="38" fontId="0" fillId="4" borderId="13" xfId="0" applyNumberFormat="1" applyFill="1" applyBorder="1"/>
    <xf numFmtId="38" fontId="0" fillId="4" borderId="0" xfId="0" applyNumberFormat="1" applyFill="1" applyBorder="1"/>
    <xf numFmtId="38" fontId="0" fillId="4" borderId="18" xfId="0" applyNumberFormat="1" applyFill="1" applyBorder="1"/>
    <xf numFmtId="38" fontId="0" fillId="0" borderId="21" xfId="0" applyNumberFormat="1" applyBorder="1"/>
    <xf numFmtId="38" fontId="0" fillId="0" borderId="1" xfId="0" applyNumberFormat="1" applyBorder="1"/>
    <xf numFmtId="0" fontId="0" fillId="6" borderId="2" xfId="0" applyFont="1" applyFill="1" applyBorder="1" applyAlignment="1">
      <alignment horizontal="center"/>
    </xf>
    <xf numFmtId="38" fontId="1" fillId="6" borderId="23" xfId="1" applyNumberFormat="1" applyFont="1" applyFill="1" applyBorder="1"/>
    <xf numFmtId="38" fontId="6" fillId="6" borderId="23" xfId="1" applyNumberFormat="1" applyFont="1" applyFill="1" applyBorder="1" applyAlignment="1">
      <alignment horizontal="right" wrapText="1"/>
    </xf>
    <xf numFmtId="165" fontId="1" fillId="6" borderId="23" xfId="2" applyNumberFormat="1" applyFont="1" applyFill="1" applyBorder="1" applyAlignment="1">
      <alignment horizontal="center"/>
    </xf>
    <xf numFmtId="9" fontId="1" fillId="6" borderId="27" xfId="2" applyNumberFormat="1" applyFont="1" applyFill="1" applyBorder="1" applyAlignment="1">
      <alignment horizontal="center"/>
    </xf>
    <xf numFmtId="38" fontId="4" fillId="6" borderId="23" xfId="1" applyNumberFormat="1" applyFont="1" applyFill="1" applyBorder="1"/>
    <xf numFmtId="165" fontId="1" fillId="6" borderId="24" xfId="2" applyNumberFormat="1" applyFont="1" applyFill="1" applyBorder="1" applyAlignment="1">
      <alignment horizontal="center"/>
    </xf>
    <xf numFmtId="38" fontId="0" fillId="6" borderId="23" xfId="0" applyNumberFormat="1" applyFont="1" applyFill="1" applyBorder="1"/>
    <xf numFmtId="4" fontId="0" fillId="0" borderId="0" xfId="0" applyNumberFormat="1"/>
    <xf numFmtId="38" fontId="4" fillId="8" borderId="0" xfId="1" applyNumberFormat="1" applyFont="1" applyFill="1"/>
    <xf numFmtId="38" fontId="6" fillId="8" borderId="0" xfId="1" applyNumberFormat="1" applyFont="1" applyFill="1" applyAlignment="1">
      <alignment horizontal="right" wrapText="1"/>
    </xf>
    <xf numFmtId="38" fontId="8" fillId="8" borderId="2" xfId="0" applyNumberFormat="1" applyFont="1" applyFill="1" applyBorder="1"/>
    <xf numFmtId="38" fontId="0" fillId="0" borderId="0" xfId="0" applyNumberFormat="1" applyFont="1" applyBorder="1" applyAlignment="1">
      <alignment vertical="center" wrapText="1"/>
    </xf>
    <xf numFmtId="38" fontId="4" fillId="0" borderId="2" xfId="0" applyNumberFormat="1" applyFont="1" applyFill="1" applyBorder="1"/>
    <xf numFmtId="38" fontId="0" fillId="8" borderId="2" xfId="0" applyNumberFormat="1" applyFill="1" applyBorder="1"/>
    <xf numFmtId="38" fontId="4" fillId="0" borderId="22" xfId="0" applyNumberFormat="1" applyFont="1" applyBorder="1"/>
    <xf numFmtId="38" fontId="4" fillId="8" borderId="2" xfId="0" applyNumberFormat="1" applyFont="1" applyFill="1" applyBorder="1"/>
    <xf numFmtId="38" fontId="8" fillId="0" borderId="9" xfId="0" applyNumberFormat="1" applyFont="1" applyBorder="1"/>
    <xf numFmtId="38" fontId="4" fillId="0" borderId="21" xfId="0" applyNumberFormat="1" applyFont="1" applyFill="1" applyBorder="1"/>
    <xf numFmtId="38" fontId="4" fillId="0" borderId="1" xfId="0" applyNumberFormat="1" applyFont="1" applyFill="1" applyBorder="1"/>
    <xf numFmtId="38" fontId="4" fillId="0" borderId="21" xfId="0" applyNumberFormat="1" applyFont="1" applyBorder="1"/>
    <xf numFmtId="38" fontId="4" fillId="0" borderId="1" xfId="0" applyNumberFormat="1" applyFont="1" applyBorder="1"/>
    <xf numFmtId="0" fontId="0" fillId="0" borderId="0" xfId="0" applyAlignment="1">
      <alignment horizontal="center"/>
    </xf>
    <xf numFmtId="38" fontId="2" fillId="0" borderId="23" xfId="0" applyNumberFormat="1" applyFont="1" applyBorder="1"/>
    <xf numFmtId="0" fontId="0" fillId="7" borderId="2" xfId="0" applyFont="1" applyFill="1" applyBorder="1" applyAlignment="1">
      <alignment horizontal="center" wrapText="1"/>
    </xf>
    <xf numFmtId="165" fontId="1" fillId="0" borderId="0" xfId="2" applyNumberFormat="1" applyFont="1" applyAlignment="1">
      <alignment horizontal="center"/>
    </xf>
    <xf numFmtId="38" fontId="0" fillId="0" borderId="23" xfId="0" applyNumberFormat="1" applyBorder="1" applyAlignment="1">
      <alignment horizontal="right"/>
    </xf>
    <xf numFmtId="165" fontId="0" fillId="0" borderId="24" xfId="2" applyNumberFormat="1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38" fontId="2" fillId="5" borderId="23" xfId="1" applyNumberFormat="1" applyFont="1" applyFill="1" applyBorder="1"/>
    <xf numFmtId="38" fontId="7" fillId="5" borderId="23" xfId="1" applyNumberFormat="1" applyFont="1" applyFill="1" applyBorder="1" applyAlignment="1">
      <alignment horizontal="right" wrapText="1"/>
    </xf>
    <xf numFmtId="165" fontId="2" fillId="5" borderId="23" xfId="2" applyNumberFormat="1" applyFont="1" applyFill="1" applyBorder="1" applyAlignment="1">
      <alignment horizontal="center"/>
    </xf>
    <xf numFmtId="9" fontId="2" fillId="5" borderId="27" xfId="2" applyNumberFormat="1" applyFont="1" applyFill="1" applyBorder="1" applyAlignment="1">
      <alignment horizontal="center"/>
    </xf>
    <xf numFmtId="38" fontId="8" fillId="5" borderId="23" xfId="1" applyNumberFormat="1" applyFont="1" applyFill="1" applyBorder="1"/>
    <xf numFmtId="165" fontId="2" fillId="5" borderId="24" xfId="2" applyNumberFormat="1" applyFont="1" applyFill="1" applyBorder="1" applyAlignment="1">
      <alignment horizontal="center"/>
    </xf>
    <xf numFmtId="38" fontId="2" fillId="5" borderId="23" xfId="0" applyNumberFormat="1" applyFont="1" applyFill="1" applyBorder="1"/>
    <xf numFmtId="0" fontId="0" fillId="13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38" fontId="21" fillId="0" borderId="3" xfId="0" applyNumberFormat="1" applyFont="1" applyBorder="1" applyAlignment="1">
      <alignment horizontal="center" vertical="center" wrapText="1"/>
    </xf>
    <xf numFmtId="38" fontId="21" fillId="0" borderId="21" xfId="0" applyNumberFormat="1" applyFont="1" applyBorder="1" applyAlignment="1">
      <alignment horizontal="center" vertical="center" wrapText="1"/>
    </xf>
    <xf numFmtId="38" fontId="21" fillId="0" borderId="4" xfId="0" applyNumberFormat="1" applyFont="1" applyBorder="1" applyAlignment="1">
      <alignment horizontal="center" vertical="center" wrapText="1"/>
    </xf>
    <xf numFmtId="38" fontId="21" fillId="0" borderId="5" xfId="0" applyNumberFormat="1" applyFont="1" applyBorder="1" applyAlignment="1">
      <alignment horizontal="center" vertical="center" wrapText="1"/>
    </xf>
    <xf numFmtId="38" fontId="21" fillId="0" borderId="0" xfId="0" applyNumberFormat="1" applyFont="1" applyBorder="1" applyAlignment="1">
      <alignment horizontal="center" vertical="center" wrapText="1"/>
    </xf>
    <xf numFmtId="38" fontId="21" fillId="0" borderId="6" xfId="0" applyNumberFormat="1" applyFont="1" applyBorder="1" applyAlignment="1">
      <alignment horizontal="center" vertical="center" wrapText="1"/>
    </xf>
    <xf numFmtId="38" fontId="21" fillId="0" borderId="7" xfId="0" applyNumberFormat="1" applyFont="1" applyBorder="1" applyAlignment="1">
      <alignment horizontal="center" vertical="center" wrapText="1"/>
    </xf>
    <xf numFmtId="38" fontId="21" fillId="0" borderId="1" xfId="0" applyNumberFormat="1" applyFont="1" applyBorder="1" applyAlignment="1">
      <alignment horizontal="center" vertical="center" wrapText="1"/>
    </xf>
    <xf numFmtId="38" fontId="21" fillId="0" borderId="8" xfId="0" applyNumberFormat="1" applyFont="1" applyBorder="1" applyAlignment="1">
      <alignment horizontal="center" vertical="center" wrapText="1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2" fillId="0" borderId="0" xfId="0" applyNumberFormat="1" applyFont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7" borderId="2" xfId="0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7" borderId="22" xfId="0" applyFont="1" applyFill="1" applyBorder="1" applyAlignment="1">
      <alignment horizontal="center" wrapText="1"/>
    </xf>
    <xf numFmtId="0" fontId="2" fillId="7" borderId="23" xfId="0" applyFont="1" applyFill="1" applyBorder="1" applyAlignment="1">
      <alignment horizontal="center" wrapText="1"/>
    </xf>
    <xf numFmtId="0" fontId="2" fillId="7" borderId="24" xfId="0" applyFont="1" applyFill="1" applyBorder="1" applyAlignment="1">
      <alignment horizont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ass.gov/lists/cherry-sheet-estimates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media/1582996/download" TargetMode="External"/><Relationship Id="rId2" Type="http://schemas.openxmlformats.org/officeDocument/2006/relationships/hyperlink" Target="https://www.mass.gov/service-details/certification-of-real-and-personal-property-values" TargetMode="External"/><Relationship Id="rId1" Type="http://schemas.openxmlformats.org/officeDocument/2006/relationships/hyperlink" Target="https://www.mass.gov/files/documents/2019/02/13/listofvaluationcontractors.pdf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mass.gov/doc/data-collection-using-new-technologies-best-practice/download" TargetMode="External"/><Relationship Id="rId4" Type="http://schemas.openxmlformats.org/officeDocument/2006/relationships/hyperlink" Target="https://www.mass.gov/doc/igr-2019-8-certification-standards-guidelines-for-development-of-a-minimum-reassessment-program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K44"/>
  <sheetViews>
    <sheetView tabSelected="1" zoomScale="80" zoomScaleNormal="80" workbookViewId="0">
      <pane xSplit="2" ySplit="5" topLeftCell="C6" activePane="bottomRight" state="frozen"/>
      <selection pane="topRight" activeCell="B1" sqref="B1"/>
      <selection pane="bottomLeft" activeCell="A3" sqref="A3"/>
      <selection pane="bottomRight" activeCell="AM2" sqref="AM2:AX2"/>
    </sheetView>
  </sheetViews>
  <sheetFormatPr defaultRowHeight="15" x14ac:dyDescent="0.25"/>
  <cols>
    <col min="2" max="2" width="14" customWidth="1"/>
    <col min="3" max="3" width="17.140625" customWidth="1"/>
    <col min="4" max="4" width="14.42578125" customWidth="1"/>
    <col min="5" max="5" width="14.85546875" customWidth="1"/>
    <col min="6" max="6" width="15.140625" customWidth="1"/>
    <col min="7" max="8" width="13.140625" customWidth="1"/>
    <col min="9" max="9" width="13.28515625" customWidth="1"/>
    <col min="10" max="10" width="16" customWidth="1"/>
    <col min="12" max="12" width="14" customWidth="1"/>
    <col min="13" max="13" width="13.140625" customWidth="1"/>
    <col min="14" max="14" width="12.5703125" bestFit="1" customWidth="1"/>
    <col min="15" max="15" width="15.140625" customWidth="1"/>
    <col min="16" max="16" width="13.140625" customWidth="1"/>
    <col min="17" max="17" width="14.140625" customWidth="1"/>
    <col min="18" max="19" width="15.28515625" customWidth="1"/>
    <col min="20" max="20" width="12.42578125" customWidth="1"/>
    <col min="22" max="24" width="12" customWidth="1"/>
    <col min="25" max="25" width="9" customWidth="1"/>
    <col min="26" max="26" width="9.42578125" customWidth="1"/>
    <col min="27" max="27" width="7.28515625" customWidth="1"/>
    <col min="28" max="28" width="9.85546875" bestFit="1" customWidth="1"/>
    <col min="29" max="30" width="9.85546875" customWidth="1"/>
    <col min="31" max="31" width="10.140625" customWidth="1"/>
    <col min="32" max="32" width="8.140625" customWidth="1"/>
    <col min="33" max="33" width="9.85546875" customWidth="1"/>
    <col min="34" max="34" width="9.42578125" customWidth="1"/>
    <col min="35" max="35" width="10" customWidth="1"/>
    <col min="36" max="36" width="10.28515625" bestFit="1" customWidth="1"/>
    <col min="37" max="37" width="10.5703125" hidden="1" customWidth="1"/>
    <col min="38" max="38" width="19.85546875" bestFit="1" customWidth="1"/>
    <col min="39" max="46" width="11.5703125" bestFit="1" customWidth="1"/>
    <col min="47" max="47" width="11.5703125" customWidth="1"/>
    <col min="48" max="50" width="11.5703125" bestFit="1" customWidth="1"/>
    <col min="51" max="51" width="19.7109375" customWidth="1"/>
    <col min="52" max="59" width="11.5703125" bestFit="1" customWidth="1"/>
  </cols>
  <sheetData>
    <row r="1" spans="2:63" ht="18.75" x14ac:dyDescent="0.3">
      <c r="C1" s="279" t="s">
        <v>20</v>
      </c>
      <c r="D1" s="279"/>
      <c r="E1" s="279"/>
      <c r="F1" s="279"/>
      <c r="G1" s="279"/>
      <c r="H1" s="279"/>
      <c r="I1" s="279"/>
      <c r="J1" s="279"/>
      <c r="L1" s="279" t="s">
        <v>20</v>
      </c>
      <c r="M1" s="279"/>
      <c r="N1" s="279"/>
      <c r="O1" s="279"/>
      <c r="P1" s="279"/>
      <c r="Q1" s="279"/>
      <c r="R1" s="279"/>
      <c r="S1" s="279"/>
      <c r="T1" s="279"/>
      <c r="V1" s="279" t="s">
        <v>20</v>
      </c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M1" s="279" t="s">
        <v>20</v>
      </c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 t="s">
        <v>20</v>
      </c>
      <c r="AZ1" s="279"/>
      <c r="BA1" s="279"/>
      <c r="BB1" s="279"/>
      <c r="BC1" s="279"/>
      <c r="BD1" s="279"/>
      <c r="BE1" s="279"/>
      <c r="BF1" s="279"/>
      <c r="BG1" s="279"/>
      <c r="BH1" s="172"/>
      <c r="BI1" s="172"/>
      <c r="BJ1" s="172"/>
      <c r="BK1" s="172"/>
    </row>
    <row r="2" spans="2:63" x14ac:dyDescent="0.25">
      <c r="C2" s="280" t="s">
        <v>166</v>
      </c>
      <c r="D2" s="280"/>
      <c r="E2" s="280"/>
      <c r="F2" s="280"/>
      <c r="G2" s="280"/>
      <c r="H2" s="280"/>
      <c r="I2" s="280"/>
      <c r="J2" s="280"/>
      <c r="L2" s="280" t="s">
        <v>166</v>
      </c>
      <c r="M2" s="280"/>
      <c r="N2" s="280"/>
      <c r="O2" s="280"/>
      <c r="P2" s="280"/>
      <c r="Q2" s="280"/>
      <c r="R2" s="280"/>
      <c r="S2" s="280"/>
      <c r="T2" s="280"/>
      <c r="V2" s="280" t="s">
        <v>165</v>
      </c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M2" s="280" t="s">
        <v>165</v>
      </c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 t="s">
        <v>165</v>
      </c>
      <c r="AZ2" s="280"/>
      <c r="BA2" s="280"/>
      <c r="BB2" s="280"/>
      <c r="BC2" s="280"/>
      <c r="BD2" s="280"/>
      <c r="BE2" s="280"/>
      <c r="BF2" s="280"/>
      <c r="BG2" s="280"/>
      <c r="BH2" s="38"/>
      <c r="BI2" s="38"/>
      <c r="BJ2" s="38"/>
      <c r="BK2" s="38"/>
    </row>
    <row r="3" spans="2:63" x14ac:dyDescent="0.25">
      <c r="C3" s="141"/>
      <c r="D3" s="141"/>
      <c r="E3" s="141"/>
      <c r="F3" s="141"/>
      <c r="G3" s="141"/>
      <c r="H3" s="141"/>
      <c r="I3" s="141"/>
      <c r="J3" s="141"/>
      <c r="M3" s="141"/>
      <c r="N3" s="141"/>
      <c r="O3" s="141"/>
      <c r="P3" s="141"/>
      <c r="Q3" s="141"/>
      <c r="R3" s="141"/>
      <c r="S3" s="141"/>
      <c r="T3" s="240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2:63" ht="18" thickBot="1" x14ac:dyDescent="0.3">
      <c r="C4" s="3" t="s">
        <v>137</v>
      </c>
      <c r="D4" s="3" t="s">
        <v>0</v>
      </c>
      <c r="E4" s="3" t="s">
        <v>140</v>
      </c>
      <c r="F4" s="58" t="s">
        <v>141</v>
      </c>
      <c r="G4" s="59" t="s">
        <v>142</v>
      </c>
      <c r="H4" s="59" t="s">
        <v>143</v>
      </c>
      <c r="I4" s="59" t="s">
        <v>3</v>
      </c>
      <c r="J4" s="60" t="s">
        <v>144</v>
      </c>
      <c r="M4" s="3" t="s">
        <v>145</v>
      </c>
      <c r="N4" s="3" t="s">
        <v>4</v>
      </c>
      <c r="O4" s="3" t="s">
        <v>146</v>
      </c>
      <c r="P4" s="3" t="s">
        <v>147</v>
      </c>
      <c r="Q4" s="3" t="s">
        <v>5</v>
      </c>
      <c r="R4" s="3" t="s">
        <v>148</v>
      </c>
      <c r="S4" s="3" t="s">
        <v>149</v>
      </c>
      <c r="T4" s="240"/>
      <c r="V4" s="272" t="s">
        <v>50</v>
      </c>
      <c r="W4" s="273"/>
      <c r="X4" s="273"/>
      <c r="Y4" s="274"/>
      <c r="Z4" s="274"/>
      <c r="AA4" s="274"/>
      <c r="AB4" s="274"/>
      <c r="AC4" s="274"/>
      <c r="AD4" s="274"/>
      <c r="AE4" s="275"/>
      <c r="AF4" s="276" t="s">
        <v>35</v>
      </c>
      <c r="AG4" s="277"/>
      <c r="AH4" s="277"/>
      <c r="AI4" s="277"/>
      <c r="AJ4" s="278"/>
      <c r="AN4" s="38"/>
    </row>
    <row r="5" spans="2:63" ht="60" x14ac:dyDescent="0.25">
      <c r="B5" s="75" t="s">
        <v>6</v>
      </c>
      <c r="C5" s="33" t="s">
        <v>52</v>
      </c>
      <c r="D5" s="75" t="s">
        <v>123</v>
      </c>
      <c r="E5" s="155" t="s">
        <v>8</v>
      </c>
      <c r="F5" s="33" t="s">
        <v>150</v>
      </c>
      <c r="G5" s="142" t="s">
        <v>9</v>
      </c>
      <c r="H5" s="33" t="s">
        <v>10</v>
      </c>
      <c r="I5" s="142" t="s">
        <v>124</v>
      </c>
      <c r="J5" s="142" t="s">
        <v>8</v>
      </c>
      <c r="L5" s="142" t="s">
        <v>6</v>
      </c>
      <c r="M5" s="143" t="s">
        <v>11</v>
      </c>
      <c r="N5" s="75" t="s">
        <v>125</v>
      </c>
      <c r="O5" s="75" t="s">
        <v>8</v>
      </c>
      <c r="P5" s="33" t="s">
        <v>12</v>
      </c>
      <c r="Q5" s="75" t="s">
        <v>126</v>
      </c>
      <c r="R5" s="75" t="s">
        <v>8</v>
      </c>
      <c r="S5" s="33" t="s">
        <v>7</v>
      </c>
      <c r="T5" s="242" t="s">
        <v>155</v>
      </c>
      <c r="U5" s="95" t="s">
        <v>6</v>
      </c>
      <c r="V5" s="171" t="s">
        <v>30</v>
      </c>
      <c r="W5" s="171" t="s">
        <v>33</v>
      </c>
      <c r="X5" s="155" t="s">
        <v>36</v>
      </c>
      <c r="Y5" s="157" t="s">
        <v>37</v>
      </c>
      <c r="Z5" s="158" t="s">
        <v>29</v>
      </c>
      <c r="AA5" s="158" t="s">
        <v>38</v>
      </c>
      <c r="AB5" s="158" t="s">
        <v>49</v>
      </c>
      <c r="AC5" s="158" t="s">
        <v>48</v>
      </c>
      <c r="AD5" s="158" t="s">
        <v>47</v>
      </c>
      <c r="AE5" s="159" t="s">
        <v>32</v>
      </c>
      <c r="AF5" s="156" t="s">
        <v>39</v>
      </c>
      <c r="AG5" s="156" t="s">
        <v>29</v>
      </c>
      <c r="AH5" s="92" t="s">
        <v>31</v>
      </c>
      <c r="AI5" s="93" t="s">
        <v>32</v>
      </c>
      <c r="AJ5" s="188" t="s">
        <v>34</v>
      </c>
      <c r="AK5" s="116" t="s">
        <v>128</v>
      </c>
      <c r="AL5" s="137" t="s">
        <v>122</v>
      </c>
      <c r="AM5" s="189">
        <v>2000</v>
      </c>
      <c r="AN5" s="189">
        <v>2001</v>
      </c>
      <c r="AO5" s="189">
        <v>2002</v>
      </c>
      <c r="AP5" s="189">
        <v>2003</v>
      </c>
      <c r="AQ5" s="189">
        <v>2004</v>
      </c>
      <c r="AR5" s="189">
        <v>2005</v>
      </c>
      <c r="AS5" s="189">
        <v>2006</v>
      </c>
      <c r="AT5" s="189">
        <v>2007</v>
      </c>
      <c r="AU5" s="189">
        <v>2008</v>
      </c>
      <c r="AV5" s="189">
        <v>2009</v>
      </c>
      <c r="AW5" s="189">
        <v>2010</v>
      </c>
      <c r="AX5" s="189">
        <v>2011</v>
      </c>
      <c r="AY5" s="137" t="s">
        <v>122</v>
      </c>
      <c r="AZ5" s="189">
        <v>2012</v>
      </c>
      <c r="BA5" s="189">
        <v>2013</v>
      </c>
      <c r="BB5" s="189">
        <v>2014</v>
      </c>
      <c r="BC5" s="189">
        <v>2015</v>
      </c>
      <c r="BD5" s="189">
        <v>2016</v>
      </c>
      <c r="BE5" s="189">
        <v>2017</v>
      </c>
      <c r="BF5" s="189">
        <v>2018</v>
      </c>
      <c r="BG5" s="189">
        <v>2019</v>
      </c>
    </row>
    <row r="6" spans="2:63" ht="15" customHeight="1" x14ac:dyDescent="0.25">
      <c r="B6" s="260">
        <v>2019</v>
      </c>
      <c r="C6" s="54">
        <v>1138317116</v>
      </c>
      <c r="D6" s="117">
        <v>10942878</v>
      </c>
      <c r="E6" s="56">
        <f t="shared" ref="E6:E10" si="0">+C6-C7-D6</f>
        <v>78730509</v>
      </c>
      <c r="F6" s="72">
        <v>15934550</v>
      </c>
      <c r="G6" s="62">
        <f t="shared" ref="G6:G10" si="1">+F6-F7</f>
        <v>-1170390</v>
      </c>
      <c r="H6" s="73">
        <f>93747394-F6</f>
        <v>77812844</v>
      </c>
      <c r="I6" s="136">
        <v>1101162</v>
      </c>
      <c r="J6" s="64">
        <f t="shared" ref="J6:J23" si="2">+H6-H7-I6</f>
        <v>-831639</v>
      </c>
      <c r="L6" s="260">
        <v>2019</v>
      </c>
      <c r="M6" s="54">
        <v>35222600</v>
      </c>
      <c r="N6" s="117">
        <v>837930</v>
      </c>
      <c r="O6" s="56">
        <f t="shared" ref="O6:O10" si="3">+M6-M7-N6</f>
        <v>1841070</v>
      </c>
      <c r="P6" s="106">
        <v>109043550</v>
      </c>
      <c r="Q6" s="117">
        <v>2778539</v>
      </c>
      <c r="R6" s="56">
        <f t="shared" ref="R6:R10" si="4">+P6-P7-Q6</f>
        <v>-5912669</v>
      </c>
      <c r="S6" s="53">
        <v>1376330660</v>
      </c>
      <c r="T6" s="243">
        <f>+S6/S7-1</f>
        <v>6.8568695724695372E-2</v>
      </c>
      <c r="U6" s="260">
        <v>2019</v>
      </c>
      <c r="V6" s="1">
        <f t="shared" ref="V6:V25" si="5">+D6</f>
        <v>10942878</v>
      </c>
      <c r="W6" s="1">
        <f t="shared" ref="W6:W25" si="6">+Q6+N6+I6</f>
        <v>4717631</v>
      </c>
      <c r="X6" s="1">
        <f>+W6+V6</f>
        <v>15660509</v>
      </c>
      <c r="Y6" s="174">
        <v>17.63</v>
      </c>
      <c r="Z6" s="169">
        <f t="shared" ref="Z6:Z12" si="7">ROUND(+V6/1000*Y6,0)</f>
        <v>192923</v>
      </c>
      <c r="AA6" s="160">
        <v>27.16</v>
      </c>
      <c r="AB6" s="13">
        <f t="shared" ref="AB6:AB12" si="8">ROUND(+I6/1000*AA6,0)</f>
        <v>29908</v>
      </c>
      <c r="AC6" s="13">
        <f t="shared" ref="AC6:AC12" si="9">ROUND(+N6/1000*AA6,0)</f>
        <v>22758</v>
      </c>
      <c r="AD6" s="13">
        <f t="shared" ref="AD6:AD12" si="10">ROUND(+Q6/1000*AA6,0)</f>
        <v>75465</v>
      </c>
      <c r="AE6" s="161">
        <f t="shared" ref="AE6:AE25" si="11">+Z6+AD6+AC6+AB6</f>
        <v>321054</v>
      </c>
      <c r="AF6" s="139">
        <v>19.400000000000002</v>
      </c>
      <c r="AG6" s="1">
        <f>ROUND(+V6/1000*AF6,0)</f>
        <v>212292</v>
      </c>
      <c r="AH6" s="1">
        <f>ROUND(+W6/1000*AF6,0)</f>
        <v>91522</v>
      </c>
      <c r="AI6" s="51">
        <f>+AH6+AG6</f>
        <v>303814</v>
      </c>
      <c r="AJ6" s="186">
        <f>+AI6-AE6</f>
        <v>-17240</v>
      </c>
      <c r="AK6" s="115">
        <f t="shared" ref="AK6:AK25" si="12">+AA6/AF6</f>
        <v>1.4</v>
      </c>
      <c r="AL6" s="260">
        <v>2019</v>
      </c>
      <c r="AM6" s="4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4">
        <v>2019</v>
      </c>
      <c r="AZ6" s="56"/>
      <c r="BA6" s="56"/>
      <c r="BB6" s="56"/>
      <c r="BC6" s="56"/>
      <c r="BD6" s="56"/>
      <c r="BE6" s="56"/>
      <c r="BF6" s="56"/>
      <c r="BG6" s="56">
        <f>+$AJ6</f>
        <v>-17240</v>
      </c>
    </row>
    <row r="7" spans="2:63" ht="15" customHeight="1" x14ac:dyDescent="0.25">
      <c r="B7" s="257">
        <v>2018</v>
      </c>
      <c r="C7" s="54">
        <v>1048643729</v>
      </c>
      <c r="D7" s="117">
        <v>8353713</v>
      </c>
      <c r="E7" s="56">
        <f t="shared" si="0"/>
        <v>42514492</v>
      </c>
      <c r="F7" s="72">
        <v>17104940</v>
      </c>
      <c r="G7" s="62">
        <f t="shared" si="1"/>
        <v>-1188810</v>
      </c>
      <c r="H7" s="73">
        <f>94648261-F7</f>
        <v>77543321</v>
      </c>
      <c r="I7" s="136">
        <v>2139357</v>
      </c>
      <c r="J7" s="64">
        <f t="shared" si="2"/>
        <v>168408</v>
      </c>
      <c r="L7" s="257">
        <v>2018</v>
      </c>
      <c r="M7" s="54">
        <v>32543600</v>
      </c>
      <c r="N7" s="117">
        <v>22100</v>
      </c>
      <c r="O7" s="56">
        <f t="shared" si="3"/>
        <v>394800</v>
      </c>
      <c r="P7" s="106">
        <v>112177680</v>
      </c>
      <c r="Q7" s="117">
        <v>7969868</v>
      </c>
      <c r="R7" s="56">
        <f t="shared" si="4"/>
        <v>-2469398</v>
      </c>
      <c r="S7" s="53">
        <v>1288013270</v>
      </c>
      <c r="T7" s="7">
        <f t="shared" ref="T7:T25" si="13">+S7/S8-1</f>
        <v>4.7072692126388871E-2</v>
      </c>
      <c r="U7" s="257">
        <v>2018</v>
      </c>
      <c r="V7" s="1">
        <f t="shared" si="5"/>
        <v>8353713</v>
      </c>
      <c r="W7" s="1">
        <f t="shared" si="6"/>
        <v>10131325</v>
      </c>
      <c r="X7" s="1">
        <f t="shared" ref="X7:X24" si="14">+W7+V7</f>
        <v>18485038</v>
      </c>
      <c r="Y7" s="174">
        <v>17.690000000000001</v>
      </c>
      <c r="Z7" s="169">
        <f t="shared" si="7"/>
        <v>147777</v>
      </c>
      <c r="AA7" s="160">
        <v>27.31</v>
      </c>
      <c r="AB7" s="13">
        <f t="shared" si="8"/>
        <v>58426</v>
      </c>
      <c r="AC7" s="13">
        <f t="shared" si="9"/>
        <v>604</v>
      </c>
      <c r="AD7" s="13">
        <f t="shared" si="10"/>
        <v>217657</v>
      </c>
      <c r="AE7" s="161">
        <f t="shared" si="11"/>
        <v>424464</v>
      </c>
      <c r="AF7" s="139">
        <v>19.510000000000002</v>
      </c>
      <c r="AG7" s="1">
        <f t="shared" ref="AG7:AG25" si="15">ROUND(+V7/1000*AF7,0)</f>
        <v>162981</v>
      </c>
      <c r="AH7" s="1">
        <f t="shared" ref="AH7:AH25" si="16">ROUND(+W7/1000*AF7,0)</f>
        <v>197662</v>
      </c>
      <c r="AI7" s="51">
        <f t="shared" ref="AI7:AI24" si="17">+AH7+AG7</f>
        <v>360643</v>
      </c>
      <c r="AJ7" s="186">
        <f t="shared" ref="AJ7:AJ25" si="18">+AI7-AE7</f>
        <v>-63821</v>
      </c>
      <c r="AK7" s="115">
        <f t="shared" si="12"/>
        <v>1.399794976934905</v>
      </c>
      <c r="AL7" s="257">
        <v>2018</v>
      </c>
      <c r="AM7" s="4"/>
      <c r="AN7" s="56"/>
      <c r="AO7" s="56"/>
      <c r="AP7" s="263" t="s">
        <v>151</v>
      </c>
      <c r="AQ7" s="264"/>
      <c r="AR7" s="264"/>
      <c r="AS7" s="265"/>
      <c r="AT7" s="56"/>
      <c r="AU7" s="56"/>
      <c r="AV7" s="56"/>
      <c r="AW7" s="56"/>
      <c r="AX7" s="56"/>
      <c r="AY7" s="4">
        <v>2018</v>
      </c>
      <c r="AZ7" s="263" t="s">
        <v>127</v>
      </c>
      <c r="BA7" s="264"/>
      <c r="BB7" s="264"/>
      <c r="BC7" s="265"/>
      <c r="BD7" s="56"/>
      <c r="BE7" s="56"/>
      <c r="BF7" s="56">
        <f>+$AJ7</f>
        <v>-63821</v>
      </c>
      <c r="BG7" s="56">
        <f t="shared" ref="BG7" si="19">+BF7*1.025</f>
        <v>-65416.524999999994</v>
      </c>
    </row>
    <row r="8" spans="2:63" ht="15" customHeight="1" x14ac:dyDescent="0.25">
      <c r="B8" s="258">
        <v>2017</v>
      </c>
      <c r="C8" s="54">
        <v>997775524</v>
      </c>
      <c r="D8" s="117">
        <v>5139884</v>
      </c>
      <c r="E8" s="56">
        <f t="shared" si="0"/>
        <v>44999997</v>
      </c>
      <c r="F8" s="72">
        <v>18293750</v>
      </c>
      <c r="G8" s="62">
        <f t="shared" si="1"/>
        <v>1913570</v>
      </c>
      <c r="H8" s="73">
        <f>93529306-F8</f>
        <v>75235556</v>
      </c>
      <c r="I8" s="136">
        <v>2103916</v>
      </c>
      <c r="J8" s="64">
        <f t="shared" si="2"/>
        <v>-119257</v>
      </c>
      <c r="L8" s="258">
        <v>2017</v>
      </c>
      <c r="M8" s="54">
        <v>32126700</v>
      </c>
      <c r="N8" s="117">
        <v>1734700</v>
      </c>
      <c r="O8" s="56">
        <f t="shared" si="3"/>
        <v>698000</v>
      </c>
      <c r="P8" s="235">
        <v>106677210</v>
      </c>
      <c r="Q8" s="236">
        <v>6089667</v>
      </c>
      <c r="R8" s="97">
        <f t="shared" si="4"/>
        <v>669393</v>
      </c>
      <c r="S8" s="53">
        <v>1230108740</v>
      </c>
      <c r="T8" s="7">
        <f t="shared" si="13"/>
        <v>5.4187175400647991E-2</v>
      </c>
      <c r="U8" s="258">
        <v>2017</v>
      </c>
      <c r="V8" s="1">
        <f t="shared" si="5"/>
        <v>5139884</v>
      </c>
      <c r="W8" s="1">
        <f t="shared" si="6"/>
        <v>9928283</v>
      </c>
      <c r="X8" s="1">
        <f t="shared" si="14"/>
        <v>15068167</v>
      </c>
      <c r="Y8" s="174">
        <v>17.03</v>
      </c>
      <c r="Z8" s="169">
        <f t="shared" si="7"/>
        <v>87532</v>
      </c>
      <c r="AA8" s="160">
        <v>26.26</v>
      </c>
      <c r="AB8" s="13">
        <f t="shared" si="8"/>
        <v>55249</v>
      </c>
      <c r="AC8" s="13">
        <f t="shared" si="9"/>
        <v>45553</v>
      </c>
      <c r="AD8" s="13">
        <f t="shared" si="10"/>
        <v>159915</v>
      </c>
      <c r="AE8" s="161">
        <f t="shared" si="11"/>
        <v>348249</v>
      </c>
      <c r="AF8" s="139">
        <v>18.75</v>
      </c>
      <c r="AG8" s="1">
        <f t="shared" si="15"/>
        <v>96373</v>
      </c>
      <c r="AH8" s="1">
        <f t="shared" si="16"/>
        <v>186155</v>
      </c>
      <c r="AI8" s="51">
        <f t="shared" si="17"/>
        <v>282528</v>
      </c>
      <c r="AJ8" s="186">
        <f t="shared" si="18"/>
        <v>-65721</v>
      </c>
      <c r="AK8" s="115">
        <f t="shared" si="12"/>
        <v>1.4005333333333334</v>
      </c>
      <c r="AL8" s="258">
        <v>2017</v>
      </c>
      <c r="AM8" s="4"/>
      <c r="AN8" s="56"/>
      <c r="AO8" s="56"/>
      <c r="AP8" s="266"/>
      <c r="AQ8" s="267"/>
      <c r="AR8" s="267"/>
      <c r="AS8" s="268"/>
      <c r="AT8" s="56"/>
      <c r="AU8" s="56"/>
      <c r="AV8" s="56"/>
      <c r="AW8" s="56"/>
      <c r="AX8" s="56"/>
      <c r="AY8" s="4">
        <v>2017</v>
      </c>
      <c r="AZ8" s="266"/>
      <c r="BA8" s="267"/>
      <c r="BB8" s="267"/>
      <c r="BC8" s="268"/>
      <c r="BD8" s="56"/>
      <c r="BE8" s="56">
        <f>+$AJ8</f>
        <v>-65721</v>
      </c>
      <c r="BF8" s="56">
        <f t="shared" ref="AP8:BG23" si="20">+BE8*1.025</f>
        <v>-67364.024999999994</v>
      </c>
      <c r="BG8" s="56">
        <f t="shared" ref="BG8" si="21">+BF8*1.025</f>
        <v>-69048.125624999986</v>
      </c>
    </row>
    <row r="9" spans="2:63" ht="15" customHeight="1" x14ac:dyDescent="0.25">
      <c r="B9" s="258">
        <v>2016</v>
      </c>
      <c r="C9" s="54">
        <v>947635643</v>
      </c>
      <c r="D9" s="117">
        <v>5261823</v>
      </c>
      <c r="E9" s="56">
        <f t="shared" si="0"/>
        <v>24145072</v>
      </c>
      <c r="F9" s="72">
        <v>16380180</v>
      </c>
      <c r="G9" s="62">
        <f t="shared" si="1"/>
        <v>-503130</v>
      </c>
      <c r="H9" s="73">
        <f>89631077-F9</f>
        <v>73250897</v>
      </c>
      <c r="I9" s="136">
        <v>1774447</v>
      </c>
      <c r="J9" s="64">
        <f t="shared" si="2"/>
        <v>1377378</v>
      </c>
      <c r="L9" s="258">
        <v>2016</v>
      </c>
      <c r="M9" s="54">
        <v>29694000</v>
      </c>
      <c r="N9" s="117">
        <v>0</v>
      </c>
      <c r="O9" s="56">
        <f t="shared" si="3"/>
        <v>392300</v>
      </c>
      <c r="P9" s="108">
        <v>99918150</v>
      </c>
      <c r="Q9" s="237">
        <v>5790321</v>
      </c>
      <c r="R9" s="182">
        <f t="shared" si="4"/>
        <v>6497139</v>
      </c>
      <c r="S9" s="53">
        <v>1166878870</v>
      </c>
      <c r="T9" s="7">
        <f t="shared" si="13"/>
        <v>3.9865978997053686E-2</v>
      </c>
      <c r="U9" s="258">
        <v>2016</v>
      </c>
      <c r="V9" s="1">
        <f t="shared" si="5"/>
        <v>5261823</v>
      </c>
      <c r="W9" s="1">
        <f t="shared" si="6"/>
        <v>7564768</v>
      </c>
      <c r="X9" s="1">
        <f t="shared" si="14"/>
        <v>12826591</v>
      </c>
      <c r="Y9" s="174">
        <v>17.010000000000002</v>
      </c>
      <c r="Z9" s="169">
        <f t="shared" si="7"/>
        <v>89504</v>
      </c>
      <c r="AA9" s="160">
        <v>26.14</v>
      </c>
      <c r="AB9" s="13">
        <f t="shared" si="8"/>
        <v>46384</v>
      </c>
      <c r="AC9" s="13">
        <f t="shared" si="9"/>
        <v>0</v>
      </c>
      <c r="AD9" s="13">
        <f t="shared" si="10"/>
        <v>151359</v>
      </c>
      <c r="AE9" s="161">
        <f t="shared" si="11"/>
        <v>287247</v>
      </c>
      <c r="AF9" s="139">
        <v>18.670000000000002</v>
      </c>
      <c r="AG9" s="1">
        <f t="shared" si="15"/>
        <v>98238</v>
      </c>
      <c r="AH9" s="1">
        <f t="shared" si="16"/>
        <v>141234</v>
      </c>
      <c r="AI9" s="51">
        <f t="shared" si="17"/>
        <v>239472</v>
      </c>
      <c r="AJ9" s="186">
        <f t="shared" si="18"/>
        <v>-47775</v>
      </c>
      <c r="AK9" s="115">
        <f t="shared" si="12"/>
        <v>1.4001071237279057</v>
      </c>
      <c r="AL9" s="258">
        <v>2016</v>
      </c>
      <c r="AM9" s="4"/>
      <c r="AN9" s="56"/>
      <c r="AO9" s="56"/>
      <c r="AP9" s="269"/>
      <c r="AQ9" s="270"/>
      <c r="AR9" s="270"/>
      <c r="AS9" s="271"/>
      <c r="AT9" s="56"/>
      <c r="AU9" s="56"/>
      <c r="AV9" s="56"/>
      <c r="AW9" s="56"/>
      <c r="AX9" s="56"/>
      <c r="AY9" s="4">
        <v>2016</v>
      </c>
      <c r="AZ9" s="269"/>
      <c r="BA9" s="270"/>
      <c r="BB9" s="270"/>
      <c r="BC9" s="271"/>
      <c r="BD9" s="56">
        <f>+$AJ9</f>
        <v>-47775</v>
      </c>
      <c r="BE9" s="56">
        <f t="shared" si="20"/>
        <v>-48969.374999999993</v>
      </c>
      <c r="BF9" s="56">
        <f t="shared" si="20"/>
        <v>-50193.609374999985</v>
      </c>
      <c r="BG9" s="56">
        <f t="shared" si="20"/>
        <v>-51448.449609374984</v>
      </c>
    </row>
    <row r="10" spans="2:63" x14ac:dyDescent="0.25">
      <c r="B10" s="257">
        <v>2015</v>
      </c>
      <c r="C10" s="54">
        <v>918228748</v>
      </c>
      <c r="D10" s="117">
        <v>4484206</v>
      </c>
      <c r="E10" s="56">
        <f t="shared" si="0"/>
        <v>7504048</v>
      </c>
      <c r="F10" s="72">
        <v>16883310</v>
      </c>
      <c r="G10" s="62">
        <f t="shared" si="1"/>
        <v>-559550</v>
      </c>
      <c r="H10" s="73">
        <f>86982382-F10</f>
        <v>70099072</v>
      </c>
      <c r="I10" s="136">
        <v>412194</v>
      </c>
      <c r="J10" s="64">
        <f t="shared" si="2"/>
        <v>-1086238</v>
      </c>
      <c r="L10" s="257">
        <v>2015</v>
      </c>
      <c r="M10" s="54">
        <v>29301700</v>
      </c>
      <c r="N10" s="117">
        <v>0</v>
      </c>
      <c r="O10" s="56">
        <f t="shared" si="3"/>
        <v>-696500</v>
      </c>
      <c r="P10" s="106">
        <v>87630690</v>
      </c>
      <c r="Q10" s="117">
        <v>18078813</v>
      </c>
      <c r="R10" s="56">
        <f t="shared" si="4"/>
        <v>-6973713</v>
      </c>
      <c r="S10" s="53">
        <v>1122143520</v>
      </c>
      <c r="T10" s="7">
        <f t="shared" si="13"/>
        <v>1.9222197498799831E-2</v>
      </c>
      <c r="U10" s="257">
        <v>2015</v>
      </c>
      <c r="V10" s="1">
        <f t="shared" si="5"/>
        <v>4484206</v>
      </c>
      <c r="W10" s="1">
        <f t="shared" si="6"/>
        <v>18491007</v>
      </c>
      <c r="X10" s="1">
        <f t="shared" si="14"/>
        <v>22975213</v>
      </c>
      <c r="Y10" s="174">
        <v>17.010000000000002</v>
      </c>
      <c r="Z10" s="169">
        <f t="shared" si="7"/>
        <v>76276</v>
      </c>
      <c r="AA10" s="160">
        <v>23.64</v>
      </c>
      <c r="AB10" s="13">
        <f t="shared" si="8"/>
        <v>9744</v>
      </c>
      <c r="AC10" s="13">
        <f t="shared" si="9"/>
        <v>0</v>
      </c>
      <c r="AD10" s="13">
        <f t="shared" si="10"/>
        <v>427383</v>
      </c>
      <c r="AE10" s="161">
        <f t="shared" si="11"/>
        <v>513403</v>
      </c>
      <c r="AF10" s="139">
        <v>18.190000000000001</v>
      </c>
      <c r="AG10" s="1">
        <f t="shared" si="15"/>
        <v>81568</v>
      </c>
      <c r="AH10" s="1">
        <f t="shared" si="16"/>
        <v>336351</v>
      </c>
      <c r="AI10" s="51">
        <f t="shared" si="17"/>
        <v>417919</v>
      </c>
      <c r="AJ10" s="186">
        <f t="shared" si="18"/>
        <v>-95484</v>
      </c>
      <c r="AK10" s="115">
        <f t="shared" si="12"/>
        <v>1.2996151731720724</v>
      </c>
      <c r="AL10" s="257">
        <v>2015</v>
      </c>
      <c r="AM10" s="4"/>
      <c r="AN10" s="56"/>
      <c r="AO10" s="56"/>
      <c r="AP10" s="230"/>
      <c r="AQ10" s="230"/>
      <c r="AR10" s="230"/>
      <c r="AS10" s="230"/>
      <c r="AT10" s="56"/>
      <c r="AU10" s="56"/>
      <c r="AV10" s="56"/>
      <c r="AW10" s="56"/>
      <c r="AX10" s="56"/>
      <c r="AY10" s="4">
        <v>2015</v>
      </c>
      <c r="AZ10" s="56"/>
      <c r="BA10" s="56"/>
      <c r="BB10" s="56"/>
      <c r="BC10" s="56">
        <f>+$AJ10</f>
        <v>-95484</v>
      </c>
      <c r="BD10" s="56">
        <f t="shared" si="20"/>
        <v>-97871.099999999991</v>
      </c>
      <c r="BE10" s="56">
        <f t="shared" si="20"/>
        <v>-100317.87749999999</v>
      </c>
      <c r="BF10" s="56">
        <f t="shared" si="20"/>
        <v>-102825.82443749998</v>
      </c>
      <c r="BG10" s="56">
        <f t="shared" si="20"/>
        <v>-105396.47004843746</v>
      </c>
    </row>
    <row r="11" spans="2:63" ht="15" customHeight="1" x14ac:dyDescent="0.25">
      <c r="B11" s="259">
        <v>2014</v>
      </c>
      <c r="C11" s="54">
        <v>906240494</v>
      </c>
      <c r="D11" s="55">
        <v>2782913</v>
      </c>
      <c r="E11" s="56">
        <f>+C11-C12-D11</f>
        <v>844784</v>
      </c>
      <c r="F11" s="72">
        <v>17442860</v>
      </c>
      <c r="G11" s="62">
        <f>+F11-F12</f>
        <v>1096110</v>
      </c>
      <c r="H11" s="71">
        <v>70773116</v>
      </c>
      <c r="I11" s="63">
        <v>730837</v>
      </c>
      <c r="J11" s="64">
        <f t="shared" si="2"/>
        <v>-4981514</v>
      </c>
      <c r="L11" s="259">
        <v>2014</v>
      </c>
      <c r="M11" s="54">
        <v>29998200</v>
      </c>
      <c r="N11" s="55">
        <v>98000</v>
      </c>
      <c r="O11" s="56">
        <f>+M11-M12-N11</f>
        <v>1783300</v>
      </c>
      <c r="P11" s="106">
        <v>76525590</v>
      </c>
      <c r="Q11" s="55">
        <v>16249917</v>
      </c>
      <c r="R11" s="56">
        <f>+P11-P12-Q11</f>
        <v>-13220697</v>
      </c>
      <c r="S11" s="53">
        <v>1100980260</v>
      </c>
      <c r="T11" s="7">
        <f t="shared" si="13"/>
        <v>4.9138980085015049E-3</v>
      </c>
      <c r="U11" s="259">
        <v>2014</v>
      </c>
      <c r="V11" s="1">
        <f t="shared" si="5"/>
        <v>2782913</v>
      </c>
      <c r="W11" s="1">
        <f t="shared" si="6"/>
        <v>17078754</v>
      </c>
      <c r="X11" s="1">
        <f t="shared" si="14"/>
        <v>19861667</v>
      </c>
      <c r="Y11" s="174">
        <v>16.34</v>
      </c>
      <c r="Z11" s="169">
        <f t="shared" si="7"/>
        <v>45473</v>
      </c>
      <c r="AA11" s="160">
        <v>22.7</v>
      </c>
      <c r="AB11" s="13">
        <f t="shared" si="8"/>
        <v>16590</v>
      </c>
      <c r="AC11" s="13">
        <f t="shared" si="9"/>
        <v>2225</v>
      </c>
      <c r="AD11" s="13">
        <f t="shared" si="10"/>
        <v>368873</v>
      </c>
      <c r="AE11" s="161">
        <f t="shared" si="11"/>
        <v>433161</v>
      </c>
      <c r="AF11" s="139">
        <v>17.46</v>
      </c>
      <c r="AG11" s="1">
        <f t="shared" si="15"/>
        <v>48590</v>
      </c>
      <c r="AH11" s="1">
        <f t="shared" si="16"/>
        <v>298195</v>
      </c>
      <c r="AI11" s="51">
        <f t="shared" si="17"/>
        <v>346785</v>
      </c>
      <c r="AJ11" s="186">
        <f t="shared" si="18"/>
        <v>-86376</v>
      </c>
      <c r="AK11" s="115">
        <f t="shared" si="12"/>
        <v>1.3001145475372278</v>
      </c>
      <c r="AL11" s="259">
        <v>2014</v>
      </c>
      <c r="AM11" s="4"/>
      <c r="AN11" s="56"/>
      <c r="AO11" s="56"/>
      <c r="AP11" s="230"/>
      <c r="AQ11" s="230"/>
      <c r="AR11" s="230"/>
      <c r="AS11" s="230"/>
      <c r="AT11" s="56"/>
      <c r="AU11" s="56"/>
      <c r="AV11" s="56"/>
      <c r="AW11" s="56"/>
      <c r="AX11" s="56"/>
      <c r="AY11" s="4">
        <v>2014</v>
      </c>
      <c r="AZ11" s="56"/>
      <c r="BA11" s="56"/>
      <c r="BB11" s="56">
        <f>+$AJ11</f>
        <v>-86376</v>
      </c>
      <c r="BC11" s="56">
        <f t="shared" si="20"/>
        <v>-88535.4</v>
      </c>
      <c r="BD11" s="56">
        <f t="shared" si="20"/>
        <v>-90748.784999999989</v>
      </c>
      <c r="BE11" s="56">
        <f t="shared" si="20"/>
        <v>-93017.504624999987</v>
      </c>
      <c r="BF11" s="56">
        <f t="shared" si="20"/>
        <v>-95342.94224062498</v>
      </c>
      <c r="BG11" s="56">
        <f t="shared" si="20"/>
        <v>-97726.515796640597</v>
      </c>
    </row>
    <row r="12" spans="2:63" ht="15" customHeight="1" x14ac:dyDescent="0.25">
      <c r="B12" s="259">
        <v>2013</v>
      </c>
      <c r="C12" s="54">
        <v>902612797</v>
      </c>
      <c r="D12" s="55">
        <v>3616545</v>
      </c>
      <c r="E12" s="56">
        <f t="shared" ref="E12:E25" si="22">+C12-C13-D12</f>
        <v>-31777890</v>
      </c>
      <c r="F12" s="61">
        <v>16346750</v>
      </c>
      <c r="G12" s="62">
        <f t="shared" ref="G12:G25" si="23">+F12-F13</f>
        <v>-490940</v>
      </c>
      <c r="H12" s="71">
        <v>75023793</v>
      </c>
      <c r="I12" s="63">
        <v>532595</v>
      </c>
      <c r="J12" s="64">
        <f t="shared" si="2"/>
        <v>-2871600</v>
      </c>
      <c r="L12" s="259">
        <v>2013</v>
      </c>
      <c r="M12" s="54">
        <v>28116900</v>
      </c>
      <c r="N12" s="55">
        <v>21000</v>
      </c>
      <c r="O12" s="56">
        <f t="shared" ref="O12:O25" si="24">+M12-M13-N12</f>
        <v>-1070700</v>
      </c>
      <c r="P12" s="107">
        <v>73496370</v>
      </c>
      <c r="Q12" s="101">
        <v>5010796</v>
      </c>
      <c r="R12" s="104">
        <f t="shared" ref="R12:R25" si="25">+P12-P13-Q12</f>
        <v>443604</v>
      </c>
      <c r="S12" s="53">
        <v>1095596610</v>
      </c>
      <c r="T12" s="7">
        <f t="shared" si="13"/>
        <v>-2.3691844611468116E-2</v>
      </c>
      <c r="U12" s="259">
        <v>2013</v>
      </c>
      <c r="V12" s="1">
        <f t="shared" si="5"/>
        <v>3616545</v>
      </c>
      <c r="W12" s="1">
        <f t="shared" si="6"/>
        <v>5564391</v>
      </c>
      <c r="X12" s="1">
        <f t="shared" si="14"/>
        <v>9180936</v>
      </c>
      <c r="Y12" s="174">
        <v>15.47</v>
      </c>
      <c r="Z12" s="169">
        <f t="shared" si="7"/>
        <v>55948</v>
      </c>
      <c r="AA12" s="160">
        <v>21.43</v>
      </c>
      <c r="AB12" s="13">
        <f t="shared" si="8"/>
        <v>11414</v>
      </c>
      <c r="AC12" s="13">
        <f t="shared" si="9"/>
        <v>450</v>
      </c>
      <c r="AD12" s="13">
        <f t="shared" si="10"/>
        <v>107381</v>
      </c>
      <c r="AE12" s="161">
        <f t="shared" si="11"/>
        <v>175193</v>
      </c>
      <c r="AF12" s="139">
        <v>16.489999999999998</v>
      </c>
      <c r="AG12" s="1">
        <f t="shared" si="15"/>
        <v>59637</v>
      </c>
      <c r="AH12" s="1">
        <f t="shared" si="16"/>
        <v>91757</v>
      </c>
      <c r="AI12" s="51">
        <f t="shared" si="17"/>
        <v>151394</v>
      </c>
      <c r="AJ12" s="186">
        <f t="shared" si="18"/>
        <v>-23799</v>
      </c>
      <c r="AK12" s="115">
        <f t="shared" si="12"/>
        <v>1.2995755003032141</v>
      </c>
      <c r="AL12" s="259">
        <v>2013</v>
      </c>
      <c r="AM12" s="4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4">
        <v>2013</v>
      </c>
      <c r="AZ12" s="56"/>
      <c r="BA12" s="56">
        <f>+$AJ12</f>
        <v>-23799</v>
      </c>
      <c r="BB12" s="56">
        <f t="shared" si="20"/>
        <v>-24393.974999999999</v>
      </c>
      <c r="BC12" s="56">
        <f t="shared" si="20"/>
        <v>-25003.824374999997</v>
      </c>
      <c r="BD12" s="56">
        <f t="shared" si="20"/>
        <v>-25628.919984374996</v>
      </c>
      <c r="BE12" s="56">
        <f t="shared" si="20"/>
        <v>-26269.642983984369</v>
      </c>
      <c r="BF12" s="56">
        <f t="shared" si="20"/>
        <v>-26926.384058583975</v>
      </c>
      <c r="BG12" s="56">
        <f t="shared" si="20"/>
        <v>-27599.543660048574</v>
      </c>
    </row>
    <row r="13" spans="2:63" ht="15" customHeight="1" x14ac:dyDescent="0.25">
      <c r="B13" s="257">
        <v>2012</v>
      </c>
      <c r="C13" s="54">
        <v>930774142</v>
      </c>
      <c r="D13" s="55">
        <v>1490676</v>
      </c>
      <c r="E13" s="56">
        <f t="shared" si="22"/>
        <v>-18048211</v>
      </c>
      <c r="F13" s="61">
        <v>16837690</v>
      </c>
      <c r="G13" s="62">
        <f t="shared" si="23"/>
        <v>-112280</v>
      </c>
      <c r="H13" s="71">
        <v>77362798</v>
      </c>
      <c r="I13" s="63">
        <v>2786254</v>
      </c>
      <c r="J13" s="64">
        <f t="shared" si="2"/>
        <v>-640569</v>
      </c>
      <c r="L13" s="257">
        <v>2012</v>
      </c>
      <c r="M13" s="54">
        <v>29166600</v>
      </c>
      <c r="N13" s="55">
        <v>114800</v>
      </c>
      <c r="O13" s="56">
        <f t="shared" si="24"/>
        <v>-1402800</v>
      </c>
      <c r="P13" s="106">
        <v>68041970</v>
      </c>
      <c r="Q13" s="55">
        <v>3213717</v>
      </c>
      <c r="R13" s="56">
        <f t="shared" si="25"/>
        <v>-3517967</v>
      </c>
      <c r="S13" s="53">
        <v>1122183200</v>
      </c>
      <c r="T13" s="7">
        <f t="shared" si="13"/>
        <v>-1.4158293900099705E-2</v>
      </c>
      <c r="U13" s="257">
        <v>2012</v>
      </c>
      <c r="V13" s="1">
        <f t="shared" si="5"/>
        <v>1490676</v>
      </c>
      <c r="W13" s="1">
        <f t="shared" si="6"/>
        <v>6114771</v>
      </c>
      <c r="X13" s="1">
        <f t="shared" si="14"/>
        <v>7605447</v>
      </c>
      <c r="Y13" s="174">
        <v>14.78</v>
      </c>
      <c r="Z13" s="169">
        <f>ROUND(+V13/1000*Y13,0)</f>
        <v>22032</v>
      </c>
      <c r="AA13" s="160">
        <v>20.45</v>
      </c>
      <c r="AB13" s="13">
        <f>ROUND(+I13/1000*AA13,0)</f>
        <v>56979</v>
      </c>
      <c r="AC13" s="13">
        <f>ROUND(+N13/1000*AA13,0)</f>
        <v>2348</v>
      </c>
      <c r="AD13" s="13">
        <f>ROUND(+Q13/1000*AA13,0)</f>
        <v>65721</v>
      </c>
      <c r="AE13" s="161">
        <f t="shared" si="11"/>
        <v>147080</v>
      </c>
      <c r="AF13" s="139">
        <v>15.73</v>
      </c>
      <c r="AG13" s="1">
        <f t="shared" si="15"/>
        <v>23448</v>
      </c>
      <c r="AH13" s="1">
        <f t="shared" si="16"/>
        <v>96185</v>
      </c>
      <c r="AI13" s="51">
        <f t="shared" si="17"/>
        <v>119633</v>
      </c>
      <c r="AJ13" s="186">
        <f t="shared" si="18"/>
        <v>-27447</v>
      </c>
      <c r="AK13" s="115">
        <f t="shared" si="12"/>
        <v>1.3000635727908454</v>
      </c>
      <c r="AL13" s="257">
        <v>2012</v>
      </c>
      <c r="AM13" s="4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4">
        <v>2012</v>
      </c>
      <c r="AZ13" s="56">
        <f>+$AJ13</f>
        <v>-27447</v>
      </c>
      <c r="BA13" s="56">
        <f t="shared" si="20"/>
        <v>-28133.174999999999</v>
      </c>
      <c r="BB13" s="56">
        <f t="shared" si="20"/>
        <v>-28836.504374999997</v>
      </c>
      <c r="BC13" s="56">
        <f t="shared" si="20"/>
        <v>-29557.416984374995</v>
      </c>
      <c r="BD13" s="56">
        <f t="shared" si="20"/>
        <v>-30296.352408984367</v>
      </c>
      <c r="BE13" s="56">
        <f t="shared" si="20"/>
        <v>-31053.761219208973</v>
      </c>
      <c r="BF13" s="56">
        <f t="shared" si="20"/>
        <v>-31830.105249689193</v>
      </c>
      <c r="BG13" s="56">
        <f t="shared" si="20"/>
        <v>-32625.85788093142</v>
      </c>
    </row>
    <row r="14" spans="2:63" x14ac:dyDescent="0.25">
      <c r="B14" s="261">
        <v>2011</v>
      </c>
      <c r="C14" s="100">
        <v>947331677</v>
      </c>
      <c r="D14" s="101">
        <v>2047900</v>
      </c>
      <c r="E14" s="102">
        <f t="shared" si="22"/>
        <v>-54269648</v>
      </c>
      <c r="F14" s="103">
        <v>16949970</v>
      </c>
      <c r="G14" s="102">
        <f t="shared" si="23"/>
        <v>177910</v>
      </c>
      <c r="H14" s="100">
        <v>75217113</v>
      </c>
      <c r="I14" s="101">
        <v>1198600</v>
      </c>
      <c r="J14" s="104">
        <f t="shared" si="2"/>
        <v>-1765412</v>
      </c>
      <c r="L14" s="261">
        <v>2011</v>
      </c>
      <c r="M14" s="100">
        <v>30454600</v>
      </c>
      <c r="N14" s="105">
        <v>0</v>
      </c>
      <c r="O14" s="102">
        <f t="shared" si="24"/>
        <v>-438400</v>
      </c>
      <c r="P14" s="107">
        <v>68346220</v>
      </c>
      <c r="Q14" s="233">
        <v>37877871</v>
      </c>
      <c r="R14" s="102">
        <f t="shared" si="25"/>
        <v>-12632021</v>
      </c>
      <c r="S14" s="241">
        <v>1138299580</v>
      </c>
      <c r="T14" s="245">
        <f t="shared" si="13"/>
        <v>-2.3842838278800738E-2</v>
      </c>
      <c r="U14" s="261">
        <v>2011</v>
      </c>
      <c r="V14" s="111">
        <f t="shared" si="5"/>
        <v>2047900</v>
      </c>
      <c r="W14" s="111">
        <f t="shared" si="6"/>
        <v>39076471</v>
      </c>
      <c r="X14" s="111">
        <f t="shared" si="14"/>
        <v>41124371</v>
      </c>
      <c r="Y14" s="175">
        <v>13.49</v>
      </c>
      <c r="Z14" s="112">
        <f t="shared" ref="Z14:Z25" si="26">ROUND(+V14/1000*Y14,0)</f>
        <v>27626</v>
      </c>
      <c r="AA14" s="140">
        <v>19.34</v>
      </c>
      <c r="AB14" s="111">
        <f t="shared" ref="AB14:AB25" si="27">ROUND(+I14/1000*AA14,0)</f>
        <v>23181</v>
      </c>
      <c r="AC14" s="111">
        <f t="shared" ref="AC14:AC25" si="28">ROUND(+N14/1000*AA14,0)</f>
        <v>0</v>
      </c>
      <c r="AD14" s="111">
        <f t="shared" ref="AD14:AD25" si="29">ROUND(+Q14/1000*AA14,0)</f>
        <v>732558</v>
      </c>
      <c r="AE14" s="162">
        <f t="shared" si="11"/>
        <v>783365</v>
      </c>
      <c r="AF14" s="140">
        <v>14.33</v>
      </c>
      <c r="AG14" s="111">
        <f t="shared" si="15"/>
        <v>29346</v>
      </c>
      <c r="AH14" s="111">
        <f t="shared" si="16"/>
        <v>559966</v>
      </c>
      <c r="AI14" s="113">
        <f t="shared" si="17"/>
        <v>589312</v>
      </c>
      <c r="AJ14" s="187">
        <f t="shared" si="18"/>
        <v>-194053</v>
      </c>
      <c r="AK14" s="115">
        <f t="shared" si="12"/>
        <v>1.3496161898115842</v>
      </c>
      <c r="AL14" s="261">
        <v>2011</v>
      </c>
      <c r="AM14" s="153"/>
      <c r="AN14" s="102"/>
      <c r="AO14" s="102"/>
      <c r="AP14" s="102"/>
      <c r="AQ14" s="102"/>
      <c r="AR14" s="102"/>
      <c r="AS14" s="102"/>
      <c r="AT14" s="102"/>
      <c r="AU14" s="102"/>
      <c r="AV14" s="102"/>
      <c r="AW14" s="244" t="s">
        <v>156</v>
      </c>
      <c r="AX14" s="104">
        <f>+$AJ14</f>
        <v>-194053</v>
      </c>
      <c r="AY14" s="99">
        <v>2011</v>
      </c>
      <c r="AZ14" s="102">
        <f t="shared" ref="AZ14:AZ25" si="30">+AX14*1.025</f>
        <v>-198904.32499999998</v>
      </c>
      <c r="BA14" s="102">
        <f t="shared" si="20"/>
        <v>-203876.93312499995</v>
      </c>
      <c r="BB14" s="102">
        <f t="shared" si="20"/>
        <v>-208973.85645312493</v>
      </c>
      <c r="BC14" s="102">
        <f t="shared" si="20"/>
        <v>-214198.20286445302</v>
      </c>
      <c r="BD14" s="102">
        <f t="shared" si="20"/>
        <v>-219553.15793606432</v>
      </c>
      <c r="BE14" s="102">
        <f t="shared" si="20"/>
        <v>-225041.98688446591</v>
      </c>
      <c r="BF14" s="102">
        <f t="shared" si="20"/>
        <v>-230668.03655657754</v>
      </c>
      <c r="BG14" s="104">
        <f t="shared" si="20"/>
        <v>-236434.73747049196</v>
      </c>
    </row>
    <row r="15" spans="2:63" x14ac:dyDescent="0.25">
      <c r="B15" s="259">
        <v>2010</v>
      </c>
      <c r="C15" s="54">
        <v>999553425</v>
      </c>
      <c r="D15" s="55">
        <v>4469300</v>
      </c>
      <c r="E15" s="56">
        <f t="shared" si="22"/>
        <v>-69340254</v>
      </c>
      <c r="F15" s="61">
        <v>16772060</v>
      </c>
      <c r="G15" s="62">
        <f t="shared" si="23"/>
        <v>-1057870</v>
      </c>
      <c r="H15" s="71">
        <v>75783925</v>
      </c>
      <c r="I15" s="63">
        <v>501500</v>
      </c>
      <c r="J15" s="64">
        <f t="shared" si="2"/>
        <v>-1916746</v>
      </c>
      <c r="L15" s="259">
        <v>2010</v>
      </c>
      <c r="M15" s="54">
        <v>30893000</v>
      </c>
      <c r="N15" s="55">
        <v>976400</v>
      </c>
      <c r="O15" s="56">
        <f t="shared" si="24"/>
        <v>2856800</v>
      </c>
      <c r="P15" s="106">
        <v>43100370</v>
      </c>
      <c r="Q15" s="55">
        <v>2581548</v>
      </c>
      <c r="R15" s="56">
        <f t="shared" si="25"/>
        <v>-1727628</v>
      </c>
      <c r="S15" s="53">
        <v>1166102780</v>
      </c>
      <c r="T15" s="7">
        <f t="shared" si="13"/>
        <v>-5.0992027546345464E-2</v>
      </c>
      <c r="U15" s="259">
        <v>2010</v>
      </c>
      <c r="V15" s="1">
        <f t="shared" si="5"/>
        <v>4469300</v>
      </c>
      <c r="W15" s="1">
        <f t="shared" si="6"/>
        <v>4059448</v>
      </c>
      <c r="X15" s="1">
        <f t="shared" si="14"/>
        <v>8528748</v>
      </c>
      <c r="Y15" s="174">
        <v>12.35</v>
      </c>
      <c r="Z15" s="169">
        <f t="shared" si="26"/>
        <v>55196</v>
      </c>
      <c r="AA15" s="160">
        <v>18.43</v>
      </c>
      <c r="AB15" s="13">
        <f t="shared" si="27"/>
        <v>9243</v>
      </c>
      <c r="AC15" s="13">
        <f t="shared" si="28"/>
        <v>17995</v>
      </c>
      <c r="AD15" s="13">
        <f t="shared" si="29"/>
        <v>47578</v>
      </c>
      <c r="AE15" s="161">
        <f t="shared" si="11"/>
        <v>130012</v>
      </c>
      <c r="AF15" s="139">
        <v>13.16</v>
      </c>
      <c r="AG15" s="1">
        <f t="shared" si="15"/>
        <v>58816</v>
      </c>
      <c r="AH15" s="1">
        <f t="shared" si="16"/>
        <v>53422</v>
      </c>
      <c r="AI15" s="51">
        <f t="shared" si="17"/>
        <v>112238</v>
      </c>
      <c r="AJ15" s="186">
        <f t="shared" si="18"/>
        <v>-17774</v>
      </c>
      <c r="AK15" s="115">
        <f t="shared" si="12"/>
        <v>1.4004559270516717</v>
      </c>
      <c r="AL15" s="259">
        <v>2010</v>
      </c>
      <c r="AM15" s="4"/>
      <c r="AN15" s="56"/>
      <c r="AO15" s="56"/>
      <c r="AP15" s="56"/>
      <c r="AQ15" s="56"/>
      <c r="AR15" s="56"/>
      <c r="AS15" s="56"/>
      <c r="AT15" s="56"/>
      <c r="AU15" s="56"/>
      <c r="AV15" s="56"/>
      <c r="AW15" s="56">
        <f>+$AJ15</f>
        <v>-17774</v>
      </c>
      <c r="AX15" s="56">
        <f t="shared" si="20"/>
        <v>-18218.349999999999</v>
      </c>
      <c r="AY15" s="4">
        <v>2010</v>
      </c>
      <c r="AZ15" s="56">
        <f t="shared" si="30"/>
        <v>-18673.808749999997</v>
      </c>
      <c r="BA15" s="56">
        <f t="shared" si="20"/>
        <v>-19140.653968749994</v>
      </c>
      <c r="BB15" s="56">
        <f t="shared" si="20"/>
        <v>-19619.170317968743</v>
      </c>
      <c r="BC15" s="56">
        <f t="shared" si="20"/>
        <v>-20109.64957591796</v>
      </c>
      <c r="BD15" s="56">
        <f t="shared" si="20"/>
        <v>-20612.390815315906</v>
      </c>
      <c r="BE15" s="56">
        <f t="shared" si="20"/>
        <v>-21127.700585698803</v>
      </c>
      <c r="BF15" s="56">
        <f t="shared" si="20"/>
        <v>-21655.893100341273</v>
      </c>
      <c r="BG15" s="56">
        <f t="shared" si="20"/>
        <v>-22197.290427849803</v>
      </c>
    </row>
    <row r="16" spans="2:63" x14ac:dyDescent="0.25">
      <c r="B16" s="257">
        <v>2009</v>
      </c>
      <c r="C16" s="54">
        <v>1064424379</v>
      </c>
      <c r="D16" s="55">
        <v>9383178</v>
      </c>
      <c r="E16" s="56">
        <f t="shared" si="22"/>
        <v>-80215486</v>
      </c>
      <c r="F16" s="61">
        <v>17829930</v>
      </c>
      <c r="G16" s="62">
        <f t="shared" si="23"/>
        <v>1898130</v>
      </c>
      <c r="H16" s="71">
        <v>77199171</v>
      </c>
      <c r="I16" s="63">
        <v>316900</v>
      </c>
      <c r="J16" s="64">
        <f t="shared" si="2"/>
        <v>2802948</v>
      </c>
      <c r="L16" s="257">
        <v>2009</v>
      </c>
      <c r="M16" s="54">
        <v>27059800</v>
      </c>
      <c r="N16" s="55">
        <v>178100</v>
      </c>
      <c r="O16" s="56">
        <f t="shared" si="24"/>
        <v>501100</v>
      </c>
      <c r="P16" s="106">
        <v>42246450</v>
      </c>
      <c r="Q16" s="55">
        <v>7086050</v>
      </c>
      <c r="R16" s="56">
        <f t="shared" si="25"/>
        <v>-1873650</v>
      </c>
      <c r="S16" s="53">
        <v>1228759730</v>
      </c>
      <c r="T16" s="7">
        <f t="shared" si="13"/>
        <v>-4.6499220607068681E-2</v>
      </c>
      <c r="U16" s="257">
        <v>2009</v>
      </c>
      <c r="V16" s="1">
        <f t="shared" si="5"/>
        <v>9383178</v>
      </c>
      <c r="W16" s="1">
        <f t="shared" si="6"/>
        <v>7581050</v>
      </c>
      <c r="X16" s="1">
        <f t="shared" si="14"/>
        <v>16964228</v>
      </c>
      <c r="Y16" s="174">
        <v>11.33</v>
      </c>
      <c r="Z16" s="169">
        <f t="shared" si="26"/>
        <v>106311</v>
      </c>
      <c r="AA16" s="160">
        <v>17.489999999999998</v>
      </c>
      <c r="AB16" s="13">
        <f t="shared" si="27"/>
        <v>5543</v>
      </c>
      <c r="AC16" s="13">
        <f t="shared" si="28"/>
        <v>3115</v>
      </c>
      <c r="AD16" s="13">
        <f t="shared" si="29"/>
        <v>123935</v>
      </c>
      <c r="AE16" s="161">
        <f t="shared" si="11"/>
        <v>238904</v>
      </c>
      <c r="AF16" s="139">
        <v>12.06</v>
      </c>
      <c r="AG16" s="1">
        <f t="shared" si="15"/>
        <v>113161</v>
      </c>
      <c r="AH16" s="1">
        <f t="shared" si="16"/>
        <v>91427</v>
      </c>
      <c r="AI16" s="51">
        <f t="shared" si="17"/>
        <v>204588</v>
      </c>
      <c r="AJ16" s="186">
        <f t="shared" si="18"/>
        <v>-34316</v>
      </c>
      <c r="AK16" s="115">
        <f t="shared" si="12"/>
        <v>1.4502487562189053</v>
      </c>
      <c r="AL16" s="257">
        <v>2009</v>
      </c>
      <c r="AM16" s="4"/>
      <c r="AN16" s="56"/>
      <c r="AO16" s="56"/>
      <c r="AP16" s="56"/>
      <c r="AQ16" s="56"/>
      <c r="AR16" s="56"/>
      <c r="AS16" s="56"/>
      <c r="AT16" s="56"/>
      <c r="AU16" s="56"/>
      <c r="AV16" s="56">
        <f>+$AJ16</f>
        <v>-34316</v>
      </c>
      <c r="AW16" s="56">
        <f t="shared" si="20"/>
        <v>-35173.899999999994</v>
      </c>
      <c r="AX16" s="56">
        <f t="shared" si="20"/>
        <v>-36053.24749999999</v>
      </c>
      <c r="AY16" s="4">
        <v>2009</v>
      </c>
      <c r="AZ16" s="56">
        <f t="shared" si="30"/>
        <v>-36954.57868749999</v>
      </c>
      <c r="BA16" s="56">
        <f t="shared" si="20"/>
        <v>-37878.443154687484</v>
      </c>
      <c r="BB16" s="56">
        <f t="shared" si="20"/>
        <v>-38825.404233554669</v>
      </c>
      <c r="BC16" s="56">
        <f t="shared" si="20"/>
        <v>-39796.03933939353</v>
      </c>
      <c r="BD16" s="56">
        <f t="shared" si="20"/>
        <v>-40790.940322878363</v>
      </c>
      <c r="BE16" s="56">
        <f t="shared" si="20"/>
        <v>-41810.713830950321</v>
      </c>
      <c r="BF16" s="56">
        <f t="shared" si="20"/>
        <v>-42855.981676724077</v>
      </c>
      <c r="BG16" s="56">
        <f t="shared" si="20"/>
        <v>-43927.381218642178</v>
      </c>
    </row>
    <row r="17" spans="2:59" x14ac:dyDescent="0.25">
      <c r="B17" s="259">
        <v>2008</v>
      </c>
      <c r="C17" s="54">
        <v>1135256687</v>
      </c>
      <c r="D17" s="55">
        <v>18403037</v>
      </c>
      <c r="E17" s="56">
        <f t="shared" si="22"/>
        <v>-42129653</v>
      </c>
      <c r="F17" s="61">
        <v>15931800</v>
      </c>
      <c r="G17" s="62">
        <f t="shared" si="23"/>
        <v>746780</v>
      </c>
      <c r="H17" s="71">
        <v>74079323</v>
      </c>
      <c r="I17" s="63">
        <v>1038600</v>
      </c>
      <c r="J17" s="64">
        <f t="shared" si="2"/>
        <v>-4317794</v>
      </c>
      <c r="L17" s="259">
        <v>2008</v>
      </c>
      <c r="M17" s="54">
        <v>26380600</v>
      </c>
      <c r="N17" s="55">
        <v>1536200</v>
      </c>
      <c r="O17" s="56">
        <f t="shared" si="24"/>
        <v>-170700</v>
      </c>
      <c r="P17" s="235">
        <v>37034050</v>
      </c>
      <c r="Q17" s="238">
        <v>4989423</v>
      </c>
      <c r="R17" s="97">
        <f t="shared" si="25"/>
        <v>2586737</v>
      </c>
      <c r="S17" s="53">
        <v>1288682460</v>
      </c>
      <c r="T17" s="7">
        <f t="shared" si="13"/>
        <v>-1.3259856243626023E-2</v>
      </c>
      <c r="U17" s="259">
        <v>2008</v>
      </c>
      <c r="V17" s="1">
        <f t="shared" si="5"/>
        <v>18403037</v>
      </c>
      <c r="W17" s="1">
        <f t="shared" si="6"/>
        <v>7564223</v>
      </c>
      <c r="X17" s="1">
        <f t="shared" si="14"/>
        <v>25967260</v>
      </c>
      <c r="Y17" s="174">
        <v>11.02</v>
      </c>
      <c r="Z17" s="169">
        <f t="shared" si="26"/>
        <v>202801</v>
      </c>
      <c r="AA17" s="160">
        <v>17.649999999999999</v>
      </c>
      <c r="AB17" s="13">
        <f t="shared" si="27"/>
        <v>18331</v>
      </c>
      <c r="AC17" s="13">
        <f t="shared" si="28"/>
        <v>27114</v>
      </c>
      <c r="AD17" s="13">
        <f t="shared" si="29"/>
        <v>88063</v>
      </c>
      <c r="AE17" s="161">
        <f t="shared" si="11"/>
        <v>336309</v>
      </c>
      <c r="AF17" s="139">
        <v>11.77</v>
      </c>
      <c r="AG17" s="1">
        <f t="shared" si="15"/>
        <v>216604</v>
      </c>
      <c r="AH17" s="1">
        <f t="shared" si="16"/>
        <v>89031</v>
      </c>
      <c r="AI17" s="51">
        <f t="shared" si="17"/>
        <v>305635</v>
      </c>
      <c r="AJ17" s="186">
        <f t="shared" si="18"/>
        <v>-30674</v>
      </c>
      <c r="AK17" s="115">
        <f t="shared" si="12"/>
        <v>1.4995751911639761</v>
      </c>
      <c r="AL17" s="259">
        <v>2008</v>
      </c>
      <c r="AM17" s="4"/>
      <c r="AN17" s="56"/>
      <c r="AO17" s="56"/>
      <c r="AP17" s="56"/>
      <c r="AQ17" s="56"/>
      <c r="AR17" s="56"/>
      <c r="AS17" s="56"/>
      <c r="AT17" s="56"/>
      <c r="AU17" s="56">
        <f>+$AJ17</f>
        <v>-30674</v>
      </c>
      <c r="AV17" s="56">
        <f t="shared" si="20"/>
        <v>-31440.85</v>
      </c>
      <c r="AW17" s="56">
        <f t="shared" si="20"/>
        <v>-32226.871249999997</v>
      </c>
      <c r="AX17" s="56">
        <f t="shared" si="20"/>
        <v>-33032.543031249996</v>
      </c>
      <c r="AY17" s="4">
        <v>2008</v>
      </c>
      <c r="AZ17" s="56">
        <f t="shared" si="30"/>
        <v>-33858.356607031244</v>
      </c>
      <c r="BA17" s="56">
        <f t="shared" si="20"/>
        <v>-34704.81552220702</v>
      </c>
      <c r="BB17" s="56">
        <f t="shared" si="20"/>
        <v>-35572.435910262189</v>
      </c>
      <c r="BC17" s="56">
        <f t="shared" si="20"/>
        <v>-36461.746808018739</v>
      </c>
      <c r="BD17" s="56">
        <f t="shared" si="20"/>
        <v>-37373.290478219205</v>
      </c>
      <c r="BE17" s="56">
        <f t="shared" si="20"/>
        <v>-38307.62274017468</v>
      </c>
      <c r="BF17" s="56">
        <f t="shared" si="20"/>
        <v>-39265.31330867904</v>
      </c>
      <c r="BG17" s="56">
        <f t="shared" si="20"/>
        <v>-40246.946141396016</v>
      </c>
    </row>
    <row r="18" spans="2:59" x14ac:dyDescent="0.25">
      <c r="B18" s="259">
        <v>2007</v>
      </c>
      <c r="C18" s="54">
        <v>1158983303</v>
      </c>
      <c r="D18" s="55">
        <v>27905702</v>
      </c>
      <c r="E18" s="56">
        <f t="shared" si="22"/>
        <v>62365924</v>
      </c>
      <c r="F18" s="61">
        <v>15185020</v>
      </c>
      <c r="G18" s="62">
        <f t="shared" si="23"/>
        <v>-403130</v>
      </c>
      <c r="H18" s="71">
        <v>77358517</v>
      </c>
      <c r="I18" s="63">
        <v>5052332</v>
      </c>
      <c r="J18" s="64">
        <f t="shared" si="2"/>
        <v>6175962</v>
      </c>
      <c r="L18" s="259">
        <v>2007</v>
      </c>
      <c r="M18" s="54">
        <v>25015100</v>
      </c>
      <c r="N18" s="55">
        <v>925500</v>
      </c>
      <c r="O18" s="56">
        <f t="shared" si="24"/>
        <v>911000</v>
      </c>
      <c r="P18" s="108">
        <v>29457890</v>
      </c>
      <c r="Q18" s="239">
        <v>998798</v>
      </c>
      <c r="R18" s="182">
        <f t="shared" si="25"/>
        <v>1338472</v>
      </c>
      <c r="S18" s="53">
        <v>1305999830</v>
      </c>
      <c r="T18" s="7">
        <f t="shared" si="13"/>
        <v>8.7672186087376813E-2</v>
      </c>
      <c r="U18" s="259">
        <v>2007</v>
      </c>
      <c r="V18" s="1">
        <f t="shared" si="5"/>
        <v>27905702</v>
      </c>
      <c r="W18" s="1">
        <f t="shared" si="6"/>
        <v>6976630</v>
      </c>
      <c r="X18" s="1">
        <f t="shared" si="14"/>
        <v>34882332</v>
      </c>
      <c r="Y18" s="174">
        <v>11.34</v>
      </c>
      <c r="Z18" s="169">
        <f t="shared" si="26"/>
        <v>316451</v>
      </c>
      <c r="AA18" s="160">
        <v>16.7</v>
      </c>
      <c r="AB18" s="13">
        <f t="shared" si="27"/>
        <v>84374</v>
      </c>
      <c r="AC18" s="13">
        <f t="shared" si="28"/>
        <v>15456</v>
      </c>
      <c r="AD18" s="13">
        <f t="shared" si="29"/>
        <v>16680</v>
      </c>
      <c r="AE18" s="161">
        <f t="shared" si="11"/>
        <v>432961</v>
      </c>
      <c r="AF18" s="139">
        <v>11.93</v>
      </c>
      <c r="AG18" s="1">
        <f t="shared" si="15"/>
        <v>332915</v>
      </c>
      <c r="AH18" s="1">
        <f t="shared" si="16"/>
        <v>83231</v>
      </c>
      <c r="AI18" s="51">
        <f t="shared" si="17"/>
        <v>416146</v>
      </c>
      <c r="AJ18" s="186">
        <f t="shared" si="18"/>
        <v>-16815</v>
      </c>
      <c r="AK18" s="115">
        <f t="shared" si="12"/>
        <v>1.3998323554065382</v>
      </c>
      <c r="AL18" s="259">
        <v>2007</v>
      </c>
      <c r="AM18" s="4"/>
      <c r="AN18" s="56"/>
      <c r="AO18" s="56"/>
      <c r="AP18" s="56"/>
      <c r="AQ18" s="56"/>
      <c r="AR18" s="56"/>
      <c r="AS18" s="56"/>
      <c r="AT18" s="56">
        <f>+$AJ18</f>
        <v>-16815</v>
      </c>
      <c r="AU18" s="56">
        <f t="shared" si="20"/>
        <v>-17235.375</v>
      </c>
      <c r="AV18" s="56">
        <f t="shared" si="20"/>
        <v>-17666.259374999998</v>
      </c>
      <c r="AW18" s="56">
        <f t="shared" si="20"/>
        <v>-18107.915859374996</v>
      </c>
      <c r="AX18" s="56">
        <f t="shared" si="20"/>
        <v>-18560.613755859369</v>
      </c>
      <c r="AY18" s="4">
        <v>2007</v>
      </c>
      <c r="AZ18" s="56">
        <f t="shared" si="30"/>
        <v>-19024.62909975585</v>
      </c>
      <c r="BA18" s="56">
        <f t="shared" si="20"/>
        <v>-19500.244827249746</v>
      </c>
      <c r="BB18" s="56">
        <f t="shared" si="20"/>
        <v>-19987.750947930988</v>
      </c>
      <c r="BC18" s="56">
        <f t="shared" si="20"/>
        <v>-20487.444721629261</v>
      </c>
      <c r="BD18" s="56">
        <f t="shared" si="20"/>
        <v>-20999.63083966999</v>
      </c>
      <c r="BE18" s="56">
        <f t="shared" si="20"/>
        <v>-21524.621610661736</v>
      </c>
      <c r="BF18" s="56">
        <f t="shared" si="20"/>
        <v>-22062.737150928278</v>
      </c>
      <c r="BG18" s="56">
        <f t="shared" si="20"/>
        <v>-22614.305579701482</v>
      </c>
    </row>
    <row r="19" spans="2:59" x14ac:dyDescent="0.25">
      <c r="B19" s="257">
        <v>2006</v>
      </c>
      <c r="C19" s="54">
        <v>1068711677</v>
      </c>
      <c r="D19" s="55">
        <v>22021824</v>
      </c>
      <c r="E19" s="56">
        <f t="shared" si="22"/>
        <v>119671656</v>
      </c>
      <c r="F19" s="61">
        <v>15588150</v>
      </c>
      <c r="G19" s="62">
        <f t="shared" si="23"/>
        <v>870480</v>
      </c>
      <c r="H19" s="71">
        <v>66130223</v>
      </c>
      <c r="I19" s="63">
        <v>681176</v>
      </c>
      <c r="J19" s="64">
        <f t="shared" si="2"/>
        <v>6597244</v>
      </c>
      <c r="L19" s="257">
        <v>2006</v>
      </c>
      <c r="M19" s="54">
        <v>23178600</v>
      </c>
      <c r="N19" s="55">
        <v>212300</v>
      </c>
      <c r="O19" s="56">
        <f t="shared" si="24"/>
        <v>1150300</v>
      </c>
      <c r="P19" s="54">
        <v>27120620</v>
      </c>
      <c r="Q19" s="55">
        <v>2322701</v>
      </c>
      <c r="R19" s="56">
        <f t="shared" si="25"/>
        <v>-247331</v>
      </c>
      <c r="S19" s="53">
        <v>1200729270</v>
      </c>
      <c r="T19" s="7">
        <f t="shared" si="13"/>
        <v>0.14633682566592365</v>
      </c>
      <c r="U19" s="257">
        <v>2006</v>
      </c>
      <c r="V19" s="1">
        <f t="shared" si="5"/>
        <v>22021824</v>
      </c>
      <c r="W19" s="1">
        <f t="shared" si="6"/>
        <v>3216177</v>
      </c>
      <c r="X19" s="1">
        <f t="shared" si="14"/>
        <v>25238001</v>
      </c>
      <c r="Y19" s="174">
        <v>11.97</v>
      </c>
      <c r="Z19" s="169">
        <f t="shared" si="26"/>
        <v>263601</v>
      </c>
      <c r="AA19" s="160">
        <v>17.68</v>
      </c>
      <c r="AB19" s="13">
        <f t="shared" si="27"/>
        <v>12043</v>
      </c>
      <c r="AC19" s="13">
        <f t="shared" si="28"/>
        <v>3753</v>
      </c>
      <c r="AD19" s="13">
        <f t="shared" si="29"/>
        <v>41065</v>
      </c>
      <c r="AE19" s="161">
        <f t="shared" si="11"/>
        <v>320462</v>
      </c>
      <c r="AF19" s="139">
        <v>12.63</v>
      </c>
      <c r="AG19" s="1">
        <f t="shared" si="15"/>
        <v>278136</v>
      </c>
      <c r="AH19" s="1">
        <f t="shared" si="16"/>
        <v>40620</v>
      </c>
      <c r="AI19" s="51">
        <f t="shared" si="17"/>
        <v>318756</v>
      </c>
      <c r="AJ19" s="186">
        <f t="shared" si="18"/>
        <v>-1706</v>
      </c>
      <c r="AK19" s="115">
        <f t="shared" si="12"/>
        <v>1.3998416468725257</v>
      </c>
      <c r="AL19" s="257">
        <v>2006</v>
      </c>
      <c r="AM19" s="4"/>
      <c r="AN19" s="56"/>
      <c r="AO19" s="56"/>
      <c r="AP19" s="56"/>
      <c r="AQ19" s="56"/>
      <c r="AR19" s="56"/>
      <c r="AS19" s="56">
        <f>+$AJ19</f>
        <v>-1706</v>
      </c>
      <c r="AT19" s="56">
        <f t="shared" si="20"/>
        <v>-1748.6499999999999</v>
      </c>
      <c r="AU19" s="56">
        <f t="shared" si="20"/>
        <v>-1792.3662499999998</v>
      </c>
      <c r="AV19" s="56">
        <f t="shared" si="20"/>
        <v>-1837.1754062499997</v>
      </c>
      <c r="AW19" s="56">
        <f t="shared" si="20"/>
        <v>-1883.1047914062494</v>
      </c>
      <c r="AX19" s="56">
        <f t="shared" si="20"/>
        <v>-1930.1824111914054</v>
      </c>
      <c r="AY19" s="4">
        <v>2006</v>
      </c>
      <c r="AZ19" s="56">
        <f t="shared" si="30"/>
        <v>-1978.4369714711904</v>
      </c>
      <c r="BA19" s="56">
        <f t="shared" si="20"/>
        <v>-2027.89789575797</v>
      </c>
      <c r="BB19" s="56">
        <f t="shared" si="20"/>
        <v>-2078.5953431519192</v>
      </c>
      <c r="BC19" s="56">
        <f t="shared" si="20"/>
        <v>-2130.5602267307172</v>
      </c>
      <c r="BD19" s="56">
        <f t="shared" si="20"/>
        <v>-2183.8242323989848</v>
      </c>
      <c r="BE19" s="56">
        <f t="shared" si="20"/>
        <v>-2238.4198382089594</v>
      </c>
      <c r="BF19" s="56">
        <f t="shared" si="20"/>
        <v>-2294.3803341641833</v>
      </c>
      <c r="BG19" s="56">
        <f t="shared" si="20"/>
        <v>-2351.7398425182878</v>
      </c>
    </row>
    <row r="20" spans="2:59" x14ac:dyDescent="0.25">
      <c r="B20" s="259">
        <v>2005</v>
      </c>
      <c r="C20" s="54">
        <v>927018197</v>
      </c>
      <c r="D20" s="55">
        <v>20787274</v>
      </c>
      <c r="E20" s="56">
        <f t="shared" si="22"/>
        <v>148356391</v>
      </c>
      <c r="F20" s="61">
        <v>14717670</v>
      </c>
      <c r="G20" s="62">
        <f t="shared" si="23"/>
        <v>2005070</v>
      </c>
      <c r="H20" s="71">
        <v>58851803</v>
      </c>
      <c r="I20" s="63">
        <v>1285116</v>
      </c>
      <c r="J20" s="64">
        <f t="shared" si="2"/>
        <v>15894319</v>
      </c>
      <c r="L20" s="259">
        <v>2005</v>
      </c>
      <c r="M20" s="54">
        <v>21816000</v>
      </c>
      <c r="N20" s="55">
        <v>679900</v>
      </c>
      <c r="O20" s="56">
        <f t="shared" si="24"/>
        <v>3581900</v>
      </c>
      <c r="P20" s="54">
        <v>25045250</v>
      </c>
      <c r="Q20" s="55">
        <v>5231066</v>
      </c>
      <c r="R20" s="56">
        <f t="shared" si="25"/>
        <v>-4419816</v>
      </c>
      <c r="S20" s="53">
        <v>1047448920</v>
      </c>
      <c r="T20" s="7">
        <f t="shared" si="13"/>
        <v>0.22645248034740906</v>
      </c>
      <c r="U20" s="259">
        <v>2005</v>
      </c>
      <c r="V20" s="1">
        <f t="shared" si="5"/>
        <v>20787274</v>
      </c>
      <c r="W20" s="1">
        <f t="shared" si="6"/>
        <v>7196082</v>
      </c>
      <c r="X20" s="1">
        <f t="shared" si="14"/>
        <v>27983356</v>
      </c>
      <c r="Y20" s="174">
        <v>14.01</v>
      </c>
      <c r="Z20" s="169">
        <f t="shared" si="26"/>
        <v>291230</v>
      </c>
      <c r="AA20" s="160">
        <v>20.66</v>
      </c>
      <c r="AB20" s="13">
        <f t="shared" si="27"/>
        <v>26550</v>
      </c>
      <c r="AC20" s="13">
        <f t="shared" si="28"/>
        <v>14047</v>
      </c>
      <c r="AD20" s="13">
        <f t="shared" si="29"/>
        <v>108074</v>
      </c>
      <c r="AE20" s="161">
        <f t="shared" si="11"/>
        <v>439901</v>
      </c>
      <c r="AF20" s="139">
        <v>14.76</v>
      </c>
      <c r="AG20" s="1">
        <f t="shared" si="15"/>
        <v>306820</v>
      </c>
      <c r="AH20" s="1">
        <f t="shared" si="16"/>
        <v>106214</v>
      </c>
      <c r="AI20" s="51">
        <f t="shared" si="17"/>
        <v>413034</v>
      </c>
      <c r="AJ20" s="186">
        <f t="shared" si="18"/>
        <v>-26867</v>
      </c>
      <c r="AK20" s="115">
        <f t="shared" si="12"/>
        <v>1.3997289972899729</v>
      </c>
      <c r="AL20" s="259">
        <v>2005</v>
      </c>
      <c r="AM20" s="4"/>
      <c r="AN20" s="56"/>
      <c r="AO20" s="56"/>
      <c r="AP20" s="56"/>
      <c r="AQ20" s="56"/>
      <c r="AR20" s="56">
        <f>+$AJ20</f>
        <v>-26867</v>
      </c>
      <c r="AS20" s="56">
        <f t="shared" si="20"/>
        <v>-27538.674999999999</v>
      </c>
      <c r="AT20" s="56">
        <f t="shared" si="20"/>
        <v>-28227.141874999998</v>
      </c>
      <c r="AU20" s="56">
        <f t="shared" si="20"/>
        <v>-28932.820421874996</v>
      </c>
      <c r="AV20" s="56">
        <f t="shared" si="20"/>
        <v>-29656.140932421869</v>
      </c>
      <c r="AW20" s="56">
        <f t="shared" si="20"/>
        <v>-30397.544455732412</v>
      </c>
      <c r="AX20" s="56">
        <f t="shared" si="20"/>
        <v>-31157.483067125719</v>
      </c>
      <c r="AY20" s="4">
        <v>2005</v>
      </c>
      <c r="AZ20" s="56">
        <f t="shared" si="30"/>
        <v>-31936.420143803858</v>
      </c>
      <c r="BA20" s="56">
        <f t="shared" si="20"/>
        <v>-32734.830647398951</v>
      </c>
      <c r="BB20" s="56">
        <f t="shared" si="20"/>
        <v>-33553.20141358392</v>
      </c>
      <c r="BC20" s="56">
        <f t="shared" si="20"/>
        <v>-34392.031448923517</v>
      </c>
      <c r="BD20" s="56">
        <f t="shared" si="20"/>
        <v>-35251.832235146605</v>
      </c>
      <c r="BE20" s="56">
        <f t="shared" si="20"/>
        <v>-36133.128041025266</v>
      </c>
      <c r="BF20" s="56">
        <f t="shared" si="20"/>
        <v>-37036.456242050896</v>
      </c>
      <c r="BG20" s="56">
        <f t="shared" si="20"/>
        <v>-37962.367648102161</v>
      </c>
    </row>
    <row r="21" spans="2:59" x14ac:dyDescent="0.25">
      <c r="B21" s="259">
        <v>2004</v>
      </c>
      <c r="C21" s="54">
        <v>757874532</v>
      </c>
      <c r="D21" s="55">
        <v>8898500</v>
      </c>
      <c r="E21" s="56">
        <f t="shared" si="22"/>
        <v>62866926</v>
      </c>
      <c r="F21" s="96">
        <v>12712600</v>
      </c>
      <c r="G21" s="97">
        <f t="shared" si="23"/>
        <v>-15561784</v>
      </c>
      <c r="H21" s="71">
        <v>41672368</v>
      </c>
      <c r="I21" s="63">
        <v>683300</v>
      </c>
      <c r="J21" s="64">
        <f t="shared" si="2"/>
        <v>3673150</v>
      </c>
      <c r="L21" s="259">
        <v>2004</v>
      </c>
      <c r="M21" s="54">
        <v>17554200</v>
      </c>
      <c r="N21" s="55">
        <v>1151100</v>
      </c>
      <c r="O21" s="56">
        <f t="shared" si="24"/>
        <v>1427340</v>
      </c>
      <c r="P21" s="103">
        <v>24234000</v>
      </c>
      <c r="Q21" s="101">
        <v>873925</v>
      </c>
      <c r="R21" s="104">
        <f t="shared" si="25"/>
        <v>1179375</v>
      </c>
      <c r="S21" s="53">
        <v>854047700</v>
      </c>
      <c r="T21" s="7">
        <f t="shared" si="13"/>
        <v>8.2640992663567392E-2</v>
      </c>
      <c r="U21" s="259">
        <v>2004</v>
      </c>
      <c r="V21" s="1">
        <f t="shared" si="5"/>
        <v>8898500</v>
      </c>
      <c r="W21" s="1">
        <f t="shared" si="6"/>
        <v>2708325</v>
      </c>
      <c r="X21" s="1">
        <f t="shared" si="14"/>
        <v>11606825</v>
      </c>
      <c r="Y21" s="174">
        <v>14.64</v>
      </c>
      <c r="Z21" s="169">
        <f t="shared" si="26"/>
        <v>130274</v>
      </c>
      <c r="AA21" s="160">
        <v>20.86</v>
      </c>
      <c r="AB21" s="13">
        <f t="shared" si="27"/>
        <v>14254</v>
      </c>
      <c r="AC21" s="13">
        <f t="shared" si="28"/>
        <v>24012</v>
      </c>
      <c r="AD21" s="13">
        <f t="shared" si="29"/>
        <v>18230</v>
      </c>
      <c r="AE21" s="161">
        <f t="shared" si="11"/>
        <v>186770</v>
      </c>
      <c r="AF21" s="139">
        <v>15.45</v>
      </c>
      <c r="AG21" s="1">
        <f t="shared" si="15"/>
        <v>137482</v>
      </c>
      <c r="AH21" s="1">
        <f t="shared" si="16"/>
        <v>41844</v>
      </c>
      <c r="AI21" s="51">
        <f t="shared" si="17"/>
        <v>179326</v>
      </c>
      <c r="AJ21" s="186">
        <f t="shared" si="18"/>
        <v>-7444</v>
      </c>
      <c r="AK21" s="115">
        <f t="shared" si="12"/>
        <v>1.3501618122977346</v>
      </c>
      <c r="AL21" s="259">
        <v>2004</v>
      </c>
      <c r="AM21" s="4"/>
      <c r="AN21" s="56"/>
      <c r="AO21" s="56"/>
      <c r="AP21" s="56"/>
      <c r="AQ21" s="56">
        <f>+$AJ21</f>
        <v>-7444</v>
      </c>
      <c r="AR21" s="56">
        <f t="shared" si="20"/>
        <v>-7630.0999999999995</v>
      </c>
      <c r="AS21" s="56">
        <f t="shared" si="20"/>
        <v>-7820.8524999999991</v>
      </c>
      <c r="AT21" s="56">
        <f t="shared" si="20"/>
        <v>-8016.3738124999982</v>
      </c>
      <c r="AU21" s="56">
        <f t="shared" si="20"/>
        <v>-8216.7831578124969</v>
      </c>
      <c r="AV21" s="56">
        <f t="shared" si="20"/>
        <v>-8422.2027367578085</v>
      </c>
      <c r="AW21" s="56">
        <f t="shared" si="20"/>
        <v>-8632.7578051767523</v>
      </c>
      <c r="AX21" s="56">
        <f t="shared" si="20"/>
        <v>-8848.5767503061707</v>
      </c>
      <c r="AY21" s="4">
        <v>2004</v>
      </c>
      <c r="AZ21" s="56">
        <f t="shared" si="30"/>
        <v>-9069.7911690638248</v>
      </c>
      <c r="BA21" s="56">
        <f t="shared" si="20"/>
        <v>-9296.5359482904205</v>
      </c>
      <c r="BB21" s="56">
        <f t="shared" si="20"/>
        <v>-9528.9493469976805</v>
      </c>
      <c r="BC21" s="56">
        <f t="shared" si="20"/>
        <v>-9767.1730806726209</v>
      </c>
      <c r="BD21" s="56">
        <f t="shared" si="20"/>
        <v>-10011.352407689435</v>
      </c>
      <c r="BE21" s="56">
        <f t="shared" si="20"/>
        <v>-10261.636217881671</v>
      </c>
      <c r="BF21" s="56">
        <f t="shared" si="20"/>
        <v>-10518.177123328711</v>
      </c>
      <c r="BG21" s="56">
        <f t="shared" si="20"/>
        <v>-10781.131551411927</v>
      </c>
    </row>
    <row r="22" spans="2:59" x14ac:dyDescent="0.25">
      <c r="B22" s="257">
        <v>2003</v>
      </c>
      <c r="C22" s="54">
        <v>686109106</v>
      </c>
      <c r="D22" s="55">
        <v>5959323</v>
      </c>
      <c r="E22" s="56">
        <f t="shared" si="22"/>
        <v>180211412</v>
      </c>
      <c r="F22" s="61">
        <v>28274384</v>
      </c>
      <c r="G22" s="64">
        <f t="shared" si="23"/>
        <v>5350173</v>
      </c>
      <c r="H22" s="71">
        <v>37315918</v>
      </c>
      <c r="I22" s="63">
        <v>120211</v>
      </c>
      <c r="J22" s="64">
        <f t="shared" si="2"/>
        <v>5218554</v>
      </c>
      <c r="L22" s="257">
        <v>2003</v>
      </c>
      <c r="M22" s="54">
        <v>14975760</v>
      </c>
      <c r="N22" s="55">
        <v>22930</v>
      </c>
      <c r="O22" s="56">
        <f t="shared" si="24"/>
        <v>2280940</v>
      </c>
      <c r="P22" s="54">
        <v>22180700</v>
      </c>
      <c r="Q22" s="55">
        <v>2236480</v>
      </c>
      <c r="R22" s="56">
        <f t="shared" si="25"/>
        <v>-1888020</v>
      </c>
      <c r="S22" s="53">
        <v>788855868</v>
      </c>
      <c r="T22" s="7">
        <f t="shared" si="13"/>
        <v>0.33853241689382818</v>
      </c>
      <c r="U22" s="257">
        <v>2003</v>
      </c>
      <c r="V22" s="1">
        <f t="shared" si="5"/>
        <v>5959323</v>
      </c>
      <c r="W22" s="1">
        <f t="shared" si="6"/>
        <v>2379621</v>
      </c>
      <c r="X22" s="1">
        <f t="shared" si="14"/>
        <v>8338944</v>
      </c>
      <c r="Y22" s="174">
        <v>18.73</v>
      </c>
      <c r="Z22" s="169">
        <f t="shared" si="26"/>
        <v>111618</v>
      </c>
      <c r="AA22" s="160">
        <v>26.98</v>
      </c>
      <c r="AB22" s="13">
        <f t="shared" si="27"/>
        <v>3243</v>
      </c>
      <c r="AC22" s="13">
        <f t="shared" si="28"/>
        <v>619</v>
      </c>
      <c r="AD22" s="13">
        <f t="shared" si="29"/>
        <v>60340</v>
      </c>
      <c r="AE22" s="161">
        <f t="shared" si="11"/>
        <v>175820</v>
      </c>
      <c r="AF22" s="139">
        <v>19.98</v>
      </c>
      <c r="AG22" s="1">
        <f t="shared" si="15"/>
        <v>119067</v>
      </c>
      <c r="AH22" s="1">
        <f t="shared" si="16"/>
        <v>47545</v>
      </c>
      <c r="AI22" s="51">
        <f t="shared" si="17"/>
        <v>166612</v>
      </c>
      <c r="AJ22" s="186">
        <f t="shared" si="18"/>
        <v>-9208</v>
      </c>
      <c r="AK22" s="115">
        <f t="shared" si="12"/>
        <v>1.3503503503503504</v>
      </c>
      <c r="AL22" s="257">
        <v>2003</v>
      </c>
      <c r="AM22" s="4"/>
      <c r="AN22" s="56"/>
      <c r="AO22" s="56"/>
      <c r="AP22" s="56">
        <f>+$AJ22</f>
        <v>-9208</v>
      </c>
      <c r="AQ22" s="56">
        <f t="shared" si="20"/>
        <v>-9438.1999999999989</v>
      </c>
      <c r="AR22" s="56">
        <f t="shared" si="20"/>
        <v>-9674.1549999999988</v>
      </c>
      <c r="AS22" s="56">
        <f t="shared" si="20"/>
        <v>-9916.0088749999977</v>
      </c>
      <c r="AT22" s="56">
        <f t="shared" si="20"/>
        <v>-10163.909096874997</v>
      </c>
      <c r="AU22" s="56">
        <f t="shared" si="20"/>
        <v>-10418.006824296872</v>
      </c>
      <c r="AV22" s="56">
        <f t="shared" si="20"/>
        <v>-10678.456994904293</v>
      </c>
      <c r="AW22" s="56">
        <f t="shared" si="20"/>
        <v>-10945.418419776899</v>
      </c>
      <c r="AX22" s="56">
        <f t="shared" si="20"/>
        <v>-11219.05388027132</v>
      </c>
      <c r="AY22" s="4">
        <v>2003</v>
      </c>
      <c r="AZ22" s="56">
        <f t="shared" si="30"/>
        <v>-11499.530227278103</v>
      </c>
      <c r="BA22" s="56">
        <f t="shared" si="20"/>
        <v>-11787.018482960055</v>
      </c>
      <c r="BB22" s="56">
        <f t="shared" si="20"/>
        <v>-12081.693945034056</v>
      </c>
      <c r="BC22" s="56">
        <f t="shared" si="20"/>
        <v>-12383.736293659906</v>
      </c>
      <c r="BD22" s="56">
        <f t="shared" si="20"/>
        <v>-12693.329701001403</v>
      </c>
      <c r="BE22" s="56">
        <f t="shared" si="20"/>
        <v>-13010.662943526437</v>
      </c>
      <c r="BF22" s="56">
        <f t="shared" si="20"/>
        <v>-13335.929517114597</v>
      </c>
      <c r="BG22" s="56">
        <f t="shared" si="20"/>
        <v>-13669.327755042461</v>
      </c>
    </row>
    <row r="23" spans="2:59" x14ac:dyDescent="0.25">
      <c r="B23" s="259">
        <v>2002</v>
      </c>
      <c r="C23" s="54">
        <v>499938371</v>
      </c>
      <c r="D23" s="55">
        <v>4498574</v>
      </c>
      <c r="E23" s="56">
        <f t="shared" si="22"/>
        <v>33979459</v>
      </c>
      <c r="F23" s="61">
        <v>22924211</v>
      </c>
      <c r="G23" s="64">
        <f t="shared" si="23"/>
        <v>-13301125</v>
      </c>
      <c r="H23" s="71">
        <v>31977153</v>
      </c>
      <c r="I23" s="63">
        <v>846147</v>
      </c>
      <c r="J23" s="64">
        <f t="shared" si="2"/>
        <v>-2675542</v>
      </c>
      <c r="L23" s="259">
        <v>2002</v>
      </c>
      <c r="M23" s="54">
        <v>12671890</v>
      </c>
      <c r="N23" s="55">
        <v>38838</v>
      </c>
      <c r="O23" s="56">
        <f t="shared" si="24"/>
        <v>935782</v>
      </c>
      <c r="P23" s="54">
        <v>21832240</v>
      </c>
      <c r="Q23" s="55">
        <v>145890</v>
      </c>
      <c r="R23" s="56">
        <f t="shared" si="25"/>
        <v>-185980</v>
      </c>
      <c r="S23" s="53">
        <v>589343865</v>
      </c>
      <c r="T23" s="7">
        <f t="shared" si="13"/>
        <v>4.2972365243249433E-2</v>
      </c>
      <c r="U23" s="259">
        <v>2002</v>
      </c>
      <c r="V23" s="1">
        <f t="shared" si="5"/>
        <v>4498574</v>
      </c>
      <c r="W23" s="1">
        <f t="shared" si="6"/>
        <v>1030875</v>
      </c>
      <c r="X23" s="1">
        <f t="shared" si="14"/>
        <v>5529449</v>
      </c>
      <c r="Y23" s="174">
        <v>18.62</v>
      </c>
      <c r="Z23" s="169">
        <f t="shared" si="26"/>
        <v>83763</v>
      </c>
      <c r="AA23" s="160">
        <v>27.28</v>
      </c>
      <c r="AB23" s="13">
        <f t="shared" si="27"/>
        <v>23083</v>
      </c>
      <c r="AC23" s="13">
        <f t="shared" si="28"/>
        <v>1060</v>
      </c>
      <c r="AD23" s="13">
        <f t="shared" si="29"/>
        <v>3980</v>
      </c>
      <c r="AE23" s="161">
        <f t="shared" si="11"/>
        <v>111886</v>
      </c>
      <c r="AF23" s="139">
        <v>20.21</v>
      </c>
      <c r="AG23" s="1">
        <f t="shared" si="15"/>
        <v>90916</v>
      </c>
      <c r="AH23" s="1">
        <f t="shared" si="16"/>
        <v>20834</v>
      </c>
      <c r="AI23" s="51">
        <f t="shared" si="17"/>
        <v>111750</v>
      </c>
      <c r="AJ23" s="186">
        <f t="shared" si="18"/>
        <v>-136</v>
      </c>
      <c r="AK23" s="115">
        <f t="shared" si="12"/>
        <v>1.3498268184067292</v>
      </c>
      <c r="AL23" s="259">
        <v>2002</v>
      </c>
      <c r="AM23" s="4"/>
      <c r="AN23" s="56"/>
      <c r="AO23" s="56">
        <f>+$AJ23</f>
        <v>-136</v>
      </c>
      <c r="AP23" s="56">
        <f t="shared" si="20"/>
        <v>-139.39999999999998</v>
      </c>
      <c r="AQ23" s="56">
        <f t="shared" si="20"/>
        <v>-142.88499999999996</v>
      </c>
      <c r="AR23" s="56">
        <f t="shared" si="20"/>
        <v>-146.45712499999996</v>
      </c>
      <c r="AS23" s="56">
        <f t="shared" si="20"/>
        <v>-150.11855312499995</v>
      </c>
      <c r="AT23" s="56">
        <f t="shared" si="20"/>
        <v>-153.87151695312494</v>
      </c>
      <c r="AU23" s="56">
        <f t="shared" si="20"/>
        <v>-157.71830487695306</v>
      </c>
      <c r="AV23" s="56">
        <f t="shared" si="20"/>
        <v>-161.66126249887688</v>
      </c>
      <c r="AW23" s="56">
        <f t="shared" si="20"/>
        <v>-165.70279406134878</v>
      </c>
      <c r="AX23" s="56">
        <f t="shared" si="20"/>
        <v>-169.84536391288248</v>
      </c>
      <c r="AY23" s="4">
        <v>2002</v>
      </c>
      <c r="AZ23" s="56">
        <f t="shared" si="30"/>
        <v>-174.09149801070453</v>
      </c>
      <c r="BA23" s="56">
        <f t="shared" si="20"/>
        <v>-178.44378546097212</v>
      </c>
      <c r="BB23" s="56">
        <f t="shared" si="20"/>
        <v>-182.9048800974964</v>
      </c>
      <c r="BC23" s="56">
        <f t="shared" si="20"/>
        <v>-187.47750209993379</v>
      </c>
      <c r="BD23" s="56">
        <f t="shared" si="20"/>
        <v>-192.16443965243212</v>
      </c>
      <c r="BE23" s="56">
        <f t="shared" si="20"/>
        <v>-196.9685506437429</v>
      </c>
      <c r="BF23" s="56">
        <f t="shared" si="20"/>
        <v>-201.89276440983645</v>
      </c>
      <c r="BG23" s="56">
        <f t="shared" si="20"/>
        <v>-206.94008352008234</v>
      </c>
    </row>
    <row r="24" spans="2:59" x14ac:dyDescent="0.25">
      <c r="B24" s="259">
        <v>2001</v>
      </c>
      <c r="C24" s="54">
        <v>461460338</v>
      </c>
      <c r="D24" s="55">
        <v>6334284</v>
      </c>
      <c r="E24" s="56">
        <f t="shared" si="22"/>
        <v>176331</v>
      </c>
      <c r="F24" s="98">
        <v>36225336</v>
      </c>
      <c r="G24" s="182">
        <f t="shared" si="23"/>
        <v>-26547073</v>
      </c>
      <c r="H24" s="71">
        <v>33806548</v>
      </c>
      <c r="I24" s="63">
        <v>1484490</v>
      </c>
      <c r="J24" s="64">
        <f t="shared" ref="J24:J25" si="31">+H24-H25-I24</f>
        <v>-1899205</v>
      </c>
      <c r="L24" s="259">
        <v>2001</v>
      </c>
      <c r="M24" s="54">
        <v>11697270</v>
      </c>
      <c r="N24" s="55">
        <v>196782</v>
      </c>
      <c r="O24" s="56">
        <f t="shared" si="24"/>
        <v>-154082</v>
      </c>
      <c r="P24" s="54">
        <v>21872330</v>
      </c>
      <c r="Q24" s="55">
        <v>769174</v>
      </c>
      <c r="R24" s="56">
        <f t="shared" si="25"/>
        <v>-654994</v>
      </c>
      <c r="S24" s="53">
        <v>565061822</v>
      </c>
      <c r="T24" s="7">
        <f t="shared" si="13"/>
        <v>-3.4669994008689864E-2</v>
      </c>
      <c r="U24" s="259">
        <v>2001</v>
      </c>
      <c r="V24" s="1">
        <f t="shared" si="5"/>
        <v>6334284</v>
      </c>
      <c r="W24" s="1">
        <f t="shared" si="6"/>
        <v>2450446</v>
      </c>
      <c r="X24" s="1">
        <f t="shared" si="14"/>
        <v>8784730</v>
      </c>
      <c r="Y24" s="174">
        <v>16.829999999999998</v>
      </c>
      <c r="Z24" s="169">
        <f t="shared" si="26"/>
        <v>106606</v>
      </c>
      <c r="AA24" s="160">
        <v>25.79</v>
      </c>
      <c r="AB24" s="13">
        <f t="shared" si="27"/>
        <v>38285</v>
      </c>
      <c r="AC24" s="13">
        <f t="shared" si="28"/>
        <v>5075</v>
      </c>
      <c r="AD24" s="13">
        <f t="shared" si="29"/>
        <v>19837</v>
      </c>
      <c r="AE24" s="161">
        <f t="shared" si="11"/>
        <v>169803</v>
      </c>
      <c r="AF24" s="139">
        <v>18.829999999999998</v>
      </c>
      <c r="AG24" s="1">
        <f t="shared" si="15"/>
        <v>119275</v>
      </c>
      <c r="AH24" s="1">
        <f t="shared" si="16"/>
        <v>46142</v>
      </c>
      <c r="AI24" s="51">
        <f t="shared" si="17"/>
        <v>165417</v>
      </c>
      <c r="AJ24" s="186">
        <f t="shared" si="18"/>
        <v>-4386</v>
      </c>
      <c r="AK24" s="115">
        <f t="shared" si="12"/>
        <v>1.3696229421136485</v>
      </c>
      <c r="AL24" s="259">
        <v>2001</v>
      </c>
      <c r="AM24" s="4"/>
      <c r="AN24" s="56">
        <f>+$AJ24</f>
        <v>-4386</v>
      </c>
      <c r="AO24" s="56">
        <f>+AN24*1.025</f>
        <v>-4495.6499999999996</v>
      </c>
      <c r="AP24" s="56">
        <f t="shared" ref="AP24:BG25" si="32">+AO24*1.025</f>
        <v>-4608.0412499999993</v>
      </c>
      <c r="AQ24" s="56">
        <f t="shared" si="32"/>
        <v>-4723.242281249999</v>
      </c>
      <c r="AR24" s="56">
        <f t="shared" si="32"/>
        <v>-4841.3233382812487</v>
      </c>
      <c r="AS24" s="56">
        <f t="shared" si="32"/>
        <v>-4962.3564217382791</v>
      </c>
      <c r="AT24" s="56">
        <f t="shared" si="32"/>
        <v>-5086.4153322817356</v>
      </c>
      <c r="AU24" s="56">
        <f t="shared" si="32"/>
        <v>-5213.5757155887786</v>
      </c>
      <c r="AV24" s="56">
        <f t="shared" si="32"/>
        <v>-5343.915108478498</v>
      </c>
      <c r="AW24" s="56">
        <f t="shared" si="32"/>
        <v>-5477.5129861904597</v>
      </c>
      <c r="AX24" s="56">
        <f t="shared" si="32"/>
        <v>-5614.450810845221</v>
      </c>
      <c r="AY24" s="4">
        <v>2001</v>
      </c>
      <c r="AZ24" s="56">
        <f t="shared" si="30"/>
        <v>-5754.8120811163508</v>
      </c>
      <c r="BA24" s="56">
        <f t="shared" si="32"/>
        <v>-5898.6823831442589</v>
      </c>
      <c r="BB24" s="56">
        <f t="shared" si="32"/>
        <v>-6046.1494427228645</v>
      </c>
      <c r="BC24" s="56">
        <f t="shared" si="32"/>
        <v>-6197.3031787909358</v>
      </c>
      <c r="BD24" s="56">
        <f t="shared" si="32"/>
        <v>-6352.2357582607083</v>
      </c>
      <c r="BE24" s="56">
        <f t="shared" si="32"/>
        <v>-6511.0416522172254</v>
      </c>
      <c r="BF24" s="56">
        <f t="shared" si="32"/>
        <v>-6673.8176935226556</v>
      </c>
      <c r="BG24" s="56">
        <f t="shared" si="32"/>
        <v>-6840.663135860721</v>
      </c>
    </row>
    <row r="25" spans="2:59" x14ac:dyDescent="0.25">
      <c r="B25" s="257">
        <v>2000</v>
      </c>
      <c r="C25" s="54">
        <v>454949723</v>
      </c>
      <c r="D25" s="117">
        <f>173100*1000/19.09</f>
        <v>9067574.6464117337</v>
      </c>
      <c r="E25" s="56">
        <f t="shared" si="22"/>
        <v>70923557.353588268</v>
      </c>
      <c r="F25" s="96">
        <v>62772409</v>
      </c>
      <c r="G25" s="152">
        <f t="shared" si="23"/>
        <v>8560208</v>
      </c>
      <c r="H25" s="71">
        <v>34221263</v>
      </c>
      <c r="I25" s="136">
        <f>8260*1000/28.66</f>
        <v>288206.55966503837</v>
      </c>
      <c r="J25" s="64">
        <f t="shared" si="31"/>
        <v>2568013.4403349617</v>
      </c>
      <c r="L25" s="257">
        <v>2000</v>
      </c>
      <c r="M25" s="54">
        <v>11654570</v>
      </c>
      <c r="N25" s="117">
        <f>6522*1000/28.66</f>
        <v>227564.54989532448</v>
      </c>
      <c r="O25" s="56">
        <f t="shared" si="24"/>
        <v>593455.45010467549</v>
      </c>
      <c r="P25" s="54">
        <v>21758150</v>
      </c>
      <c r="Q25" s="117">
        <f>23061*1000/28.66</f>
        <v>804640.61409630149</v>
      </c>
      <c r="R25" s="56">
        <f t="shared" si="25"/>
        <v>-1012110.6140963015</v>
      </c>
      <c r="S25" s="53">
        <v>585356115</v>
      </c>
      <c r="T25" s="7">
        <f t="shared" si="13"/>
        <v>0.18652864497219279</v>
      </c>
      <c r="U25" s="257">
        <v>2000</v>
      </c>
      <c r="V25" s="1">
        <f t="shared" si="5"/>
        <v>9067574.6464117337</v>
      </c>
      <c r="W25" s="1">
        <f t="shared" si="6"/>
        <v>1320411.7236566644</v>
      </c>
      <c r="X25" s="1">
        <f t="shared" ref="X25" si="33">+W25+V25</f>
        <v>10387986.370068397</v>
      </c>
      <c r="Y25" s="174">
        <v>19.09</v>
      </c>
      <c r="Z25" s="169">
        <f t="shared" si="26"/>
        <v>173100</v>
      </c>
      <c r="AA25" s="160">
        <v>28.66</v>
      </c>
      <c r="AB25" s="13">
        <f t="shared" si="27"/>
        <v>8260</v>
      </c>
      <c r="AC25" s="13">
        <f t="shared" si="28"/>
        <v>6522</v>
      </c>
      <c r="AD25" s="13">
        <f t="shared" si="29"/>
        <v>23061</v>
      </c>
      <c r="AE25" s="161">
        <f t="shared" si="11"/>
        <v>210943</v>
      </c>
      <c r="AF25" s="139">
        <v>21.39</v>
      </c>
      <c r="AG25" s="1">
        <f t="shared" si="15"/>
        <v>193955</v>
      </c>
      <c r="AH25" s="1">
        <f t="shared" si="16"/>
        <v>28244</v>
      </c>
      <c r="AI25" s="51">
        <f t="shared" ref="AI25" si="34">+AH25+AG25</f>
        <v>222199</v>
      </c>
      <c r="AJ25" s="186">
        <f t="shared" si="18"/>
        <v>11256</v>
      </c>
      <c r="AK25" s="115">
        <f t="shared" si="12"/>
        <v>1.3398784478728378</v>
      </c>
      <c r="AL25" s="257">
        <v>2000</v>
      </c>
      <c r="AM25" s="154">
        <f>ROUND(+AJ25,0)</f>
        <v>11256</v>
      </c>
      <c r="AN25" s="9">
        <f>+AM25*1.025</f>
        <v>11537.4</v>
      </c>
      <c r="AO25" s="9">
        <f t="shared" ref="AO25" si="35">+AN25*1.025</f>
        <v>11825.834999999999</v>
      </c>
      <c r="AP25" s="9">
        <f t="shared" si="32"/>
        <v>12121.480874999997</v>
      </c>
      <c r="AQ25" s="9">
        <f t="shared" si="32"/>
        <v>12424.517896874997</v>
      </c>
      <c r="AR25" s="9">
        <f t="shared" si="32"/>
        <v>12735.130844296871</v>
      </c>
      <c r="AS25" s="9">
        <f t="shared" si="32"/>
        <v>13053.509115404291</v>
      </c>
      <c r="AT25" s="9">
        <f t="shared" si="32"/>
        <v>13379.846843289397</v>
      </c>
      <c r="AU25" s="9">
        <f t="shared" si="32"/>
        <v>13714.34301437163</v>
      </c>
      <c r="AV25" s="9">
        <f t="shared" si="32"/>
        <v>14057.201589730919</v>
      </c>
      <c r="AW25" s="9">
        <f t="shared" si="32"/>
        <v>14408.631629474192</v>
      </c>
      <c r="AX25" s="9">
        <f t="shared" si="32"/>
        <v>14768.847420211045</v>
      </c>
      <c r="AY25" s="4">
        <v>2000</v>
      </c>
      <c r="AZ25" s="9">
        <f t="shared" si="30"/>
        <v>15138.06860571632</v>
      </c>
      <c r="BA25" s="9">
        <f t="shared" si="32"/>
        <v>15516.520320859227</v>
      </c>
      <c r="BB25" s="9">
        <f t="shared" si="32"/>
        <v>15904.433328880707</v>
      </c>
      <c r="BC25" s="9">
        <f t="shared" si="32"/>
        <v>16302.044162102722</v>
      </c>
      <c r="BD25" s="9">
        <f t="shared" si="32"/>
        <v>16709.595266155287</v>
      </c>
      <c r="BE25" s="9">
        <f t="shared" si="32"/>
        <v>17127.335147809168</v>
      </c>
      <c r="BF25" s="9">
        <f t="shared" si="32"/>
        <v>17555.518526504395</v>
      </c>
      <c r="BG25" s="9">
        <f t="shared" si="32"/>
        <v>17994.406489667002</v>
      </c>
    </row>
    <row r="26" spans="2:59" x14ac:dyDescent="0.25">
      <c r="B26" s="259">
        <v>1999</v>
      </c>
      <c r="C26" s="54">
        <v>374958591</v>
      </c>
      <c r="D26" s="57"/>
      <c r="E26" s="57"/>
      <c r="F26" s="61">
        <v>54212201</v>
      </c>
      <c r="G26" s="65"/>
      <c r="H26" s="71">
        <v>31365043</v>
      </c>
      <c r="I26" s="65"/>
      <c r="J26" s="66"/>
      <c r="L26" s="259">
        <v>1999</v>
      </c>
      <c r="M26" s="54">
        <v>10833550</v>
      </c>
      <c r="N26" s="57"/>
      <c r="O26" s="57"/>
      <c r="P26" s="54">
        <v>21965620</v>
      </c>
      <c r="Q26" s="57"/>
      <c r="R26" s="57"/>
      <c r="S26" s="53">
        <f>+C26+F26+H26+M26+P26</f>
        <v>493335005</v>
      </c>
      <c r="T26" s="57"/>
      <c r="U26" s="259"/>
      <c r="V26" s="1"/>
      <c r="W26" s="226"/>
      <c r="X26" s="1"/>
      <c r="Y26" s="174"/>
      <c r="Z26" s="169"/>
      <c r="AA26" s="160"/>
      <c r="AB26" s="13"/>
      <c r="AC26" s="13"/>
      <c r="AD26" s="13"/>
      <c r="AE26" s="161"/>
      <c r="AF26" s="139"/>
      <c r="AG26" s="1"/>
      <c r="AH26" s="1"/>
      <c r="AI26" s="51"/>
      <c r="AJ26" s="176"/>
      <c r="AK26" s="115"/>
      <c r="AL26" s="259"/>
      <c r="AM26" s="154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4"/>
      <c r="AZ26" s="9"/>
      <c r="BA26" s="9"/>
      <c r="BB26" s="9"/>
      <c r="BC26" s="9"/>
      <c r="BD26" s="9"/>
      <c r="BE26" s="9"/>
      <c r="BF26" s="9"/>
      <c r="BG26" s="9"/>
    </row>
    <row r="27" spans="2:59" x14ac:dyDescent="0.25">
      <c r="B27" s="4"/>
      <c r="C27" s="52"/>
      <c r="F27" s="42"/>
      <c r="G27" s="43"/>
      <c r="H27" s="70"/>
      <c r="I27" s="43"/>
      <c r="J27" s="44"/>
      <c r="L27" s="4"/>
      <c r="S27" s="52"/>
      <c r="T27" s="52"/>
      <c r="U27" s="181" t="s">
        <v>51</v>
      </c>
      <c r="V27" s="51">
        <f>SUM(V6:V25)</f>
        <v>181849108.64641175</v>
      </c>
      <c r="W27" s="51">
        <f>SUM(W6:W25)</f>
        <v>165150689.72365665</v>
      </c>
      <c r="X27" s="51">
        <f>SUM(X6:X25)</f>
        <v>346999798.37006837</v>
      </c>
      <c r="Y27" s="177"/>
      <c r="Z27" s="170">
        <f>SUM(Z6:Z25)</f>
        <v>2586042</v>
      </c>
      <c r="AA27" s="170"/>
      <c r="AB27" s="170">
        <f>SUM(AB6:AB25)</f>
        <v>551084</v>
      </c>
      <c r="AC27" s="170">
        <f>SUM(AC6:AC25)</f>
        <v>192706</v>
      </c>
      <c r="AD27" s="170">
        <f>SUM(AD6:AD25)</f>
        <v>2857155</v>
      </c>
      <c r="AE27" s="161">
        <f>SUM(AE6:AE25)</f>
        <v>6186987</v>
      </c>
      <c r="AF27" s="51"/>
      <c r="AG27" s="51">
        <f>SUM(AG6:AG25)</f>
        <v>2779620</v>
      </c>
      <c r="AH27" s="51">
        <f>SUM(AH6:AH25)</f>
        <v>2647581</v>
      </c>
      <c r="AI27" s="51">
        <f>SUM(AI6:AI25)</f>
        <v>5427201</v>
      </c>
      <c r="AJ27" s="186">
        <f>SUM(AJ6:AJ25)</f>
        <v>-759786</v>
      </c>
      <c r="AL27" s="138" t="s">
        <v>120</v>
      </c>
      <c r="AM27" s="53">
        <f t="shared" ref="AM27:AX27" si="36">SUM(AM6:AM25)</f>
        <v>11256</v>
      </c>
      <c r="AN27" s="53">
        <f t="shared" si="36"/>
        <v>7151.4</v>
      </c>
      <c r="AO27" s="53">
        <f t="shared" si="36"/>
        <v>7194.1849999999995</v>
      </c>
      <c r="AP27" s="53">
        <f t="shared" si="36"/>
        <v>-1833.9603750000024</v>
      </c>
      <c r="AQ27" s="53">
        <f t="shared" si="36"/>
        <v>-9323.8093843749957</v>
      </c>
      <c r="AR27" s="53">
        <f t="shared" si="36"/>
        <v>-36423.904618984372</v>
      </c>
      <c r="AS27" s="53">
        <f t="shared" si="36"/>
        <v>-39040.502234458989</v>
      </c>
      <c r="AT27" s="53">
        <f t="shared" si="36"/>
        <v>-56831.514790320449</v>
      </c>
      <c r="AU27" s="53">
        <f t="shared" si="36"/>
        <v>-88926.30266007848</v>
      </c>
      <c r="AV27" s="53">
        <f t="shared" si="36"/>
        <v>-125465.46022658044</v>
      </c>
      <c r="AW27" s="53">
        <f t="shared" si="36"/>
        <v>-146376.09673224494</v>
      </c>
      <c r="AX27" s="53">
        <f t="shared" si="36"/>
        <v>-344088.49915055104</v>
      </c>
      <c r="AY27" s="138" t="s">
        <v>120</v>
      </c>
      <c r="AZ27" s="53">
        <f t="shared" ref="AZ27:BG27" si="37">SUM(AZ6:AZ25)</f>
        <v>-380137.71162931481</v>
      </c>
      <c r="BA27" s="53">
        <f t="shared" si="37"/>
        <v>-413440.15442004759</v>
      </c>
      <c r="BB27" s="53">
        <f t="shared" si="37"/>
        <v>-510152.15828054876</v>
      </c>
      <c r="BC27" s="53">
        <f t="shared" si="37"/>
        <v>-618389.96223756252</v>
      </c>
      <c r="BD27" s="53">
        <f t="shared" si="37"/>
        <v>-681624.71129350131</v>
      </c>
      <c r="BE27" s="53">
        <f t="shared" si="37"/>
        <v>-764386.32907583902</v>
      </c>
      <c r="BF27" s="53">
        <f t="shared" si="37"/>
        <v>-847316.98730273475</v>
      </c>
      <c r="BG27" s="53">
        <f t="shared" si="37"/>
        <v>-885739.91198530304</v>
      </c>
    </row>
    <row r="28" spans="2:59" x14ac:dyDescent="0.25">
      <c r="B28" s="168" t="s">
        <v>120</v>
      </c>
      <c r="C28" s="53">
        <f>+C6-C26</f>
        <v>763358525</v>
      </c>
      <c r="D28" s="56">
        <f>SUM(D6:D25)</f>
        <v>181849108.64641175</v>
      </c>
      <c r="E28" s="56">
        <f>SUM(E6:E25)</f>
        <v>581509416.35358822</v>
      </c>
      <c r="F28" s="67">
        <f>+F6-F26</f>
        <v>-38277651</v>
      </c>
      <c r="G28" s="62">
        <f>SUM(G6:G25)</f>
        <v>-38277651</v>
      </c>
      <c r="H28" s="68">
        <f>+H6-H26</f>
        <v>46447801</v>
      </c>
      <c r="I28" s="62">
        <f>SUM(I6:I25)</f>
        <v>25077340.559665039</v>
      </c>
      <c r="J28" s="64">
        <f>SUM(J6:J25)</f>
        <v>21370460.440334961</v>
      </c>
      <c r="L28" s="168" t="s">
        <v>120</v>
      </c>
      <c r="M28" s="53">
        <f>+M6-M26</f>
        <v>24389050</v>
      </c>
      <c r="N28" s="56">
        <f t="shared" ref="N28:R28" si="38">SUM(N6:N25)</f>
        <v>8974144.5498953238</v>
      </c>
      <c r="O28" s="56">
        <f t="shared" si="38"/>
        <v>15414905.450104676</v>
      </c>
      <c r="P28" s="53">
        <f>+P6-P26</f>
        <v>87077930</v>
      </c>
      <c r="Q28" s="56">
        <f>SUM(Q6:Q25)</f>
        <v>131099204.6140963</v>
      </c>
      <c r="R28" s="56">
        <f t="shared" si="38"/>
        <v>-44021274.614096299</v>
      </c>
      <c r="S28" s="53">
        <f>+S6-S26</f>
        <v>882995655</v>
      </c>
      <c r="T28" s="53"/>
      <c r="U28" s="168"/>
      <c r="Y28" s="163"/>
      <c r="Z28" s="43"/>
      <c r="AA28" s="43"/>
      <c r="AB28" s="43"/>
      <c r="AC28" s="43"/>
      <c r="AD28" s="43"/>
      <c r="AE28" s="164"/>
      <c r="AJ28" s="114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</row>
    <row r="29" spans="2:59" ht="15.75" thickBot="1" x14ac:dyDescent="0.3">
      <c r="B29" s="167"/>
      <c r="C29" s="52"/>
      <c r="D29" s="7">
        <f>+D28/C28</f>
        <v>0.23822241147619561</v>
      </c>
      <c r="E29" s="7">
        <f>+E28/C28</f>
        <v>0.76177758852380439</v>
      </c>
      <c r="F29" s="69"/>
      <c r="G29" s="43"/>
      <c r="H29" s="70"/>
      <c r="I29" s="12">
        <f>+I28/H28</f>
        <v>0.53990372030023637</v>
      </c>
      <c r="J29" s="8">
        <f>+J28/H28</f>
        <v>0.46009627969976363</v>
      </c>
      <c r="L29" s="167"/>
      <c r="M29" s="52"/>
      <c r="N29" s="7">
        <f>+N28/M28</f>
        <v>0.36795793808677763</v>
      </c>
      <c r="O29" s="7">
        <f>+O28/M28</f>
        <v>0.63204206191322243</v>
      </c>
      <c r="P29" s="52"/>
      <c r="Q29" s="7">
        <f>+Q28/P28</f>
        <v>1.5055388272791543</v>
      </c>
      <c r="R29" s="7">
        <f>+R28/P28</f>
        <v>-0.50553882727915445</v>
      </c>
      <c r="S29" s="52"/>
      <c r="T29" s="52"/>
      <c r="U29" s="181" t="s">
        <v>129</v>
      </c>
      <c r="V29" s="83">
        <f>+V27/X27</f>
        <v>0.52406113634819262</v>
      </c>
      <c r="W29" s="83">
        <f>+W27/X27</f>
        <v>0.47593886365180749</v>
      </c>
      <c r="X29" s="83">
        <f>+X27/X27</f>
        <v>1</v>
      </c>
      <c r="Y29" s="178"/>
      <c r="Z29" s="179">
        <f>+Z27/$AE27</f>
        <v>0.41798083622933102</v>
      </c>
      <c r="AA29" s="180"/>
      <c r="AB29" s="179">
        <f>+AB27/$AE27</f>
        <v>8.9071465642323155E-2</v>
      </c>
      <c r="AC29" s="179">
        <f>+AC27/$AE27</f>
        <v>3.1146986408731748E-2</v>
      </c>
      <c r="AD29" s="179">
        <f>+AD27/$AE27</f>
        <v>0.46180071171961407</v>
      </c>
      <c r="AE29" s="166">
        <f>+AE27/$AE27</f>
        <v>1</v>
      </c>
      <c r="AF29" s="52"/>
      <c r="AG29" s="165">
        <f>+AG27/$AI27</f>
        <v>0.51216455775269798</v>
      </c>
      <c r="AH29" s="165">
        <f>+AH27/$AI27</f>
        <v>0.48783544224730208</v>
      </c>
      <c r="AI29" s="165">
        <f>+AI27/$AI27</f>
        <v>1</v>
      </c>
      <c r="AJ29" s="83">
        <f>+AJ27/AE27</f>
        <v>-0.12280387852762581</v>
      </c>
      <c r="AL29" s="53" t="s">
        <v>24</v>
      </c>
      <c r="AM29" s="54">
        <v>11019985</v>
      </c>
      <c r="AN29" s="71">
        <v>11418640</v>
      </c>
      <c r="AO29" s="71">
        <v>11776006</v>
      </c>
      <c r="AP29" s="71">
        <v>12187934</v>
      </c>
      <c r="AQ29" s="71">
        <v>12604759</v>
      </c>
      <c r="AR29" s="71">
        <v>13225623</v>
      </c>
      <c r="AS29" s="71">
        <v>14323884</v>
      </c>
      <c r="AT29" s="71">
        <v>15366838</v>
      </c>
      <c r="AU29" s="71">
        <v>15545876</v>
      </c>
      <c r="AV29" s="71">
        <v>16174341</v>
      </c>
      <c r="AW29" s="71">
        <v>16705041</v>
      </c>
      <c r="AX29" s="71">
        <v>17906855.802525107</v>
      </c>
      <c r="AY29" s="53" t="s">
        <v>24</v>
      </c>
      <c r="AZ29" s="71">
        <v>18500972.089680001</v>
      </c>
      <c r="BA29" s="71">
        <v>19129425.65808</v>
      </c>
      <c r="BB29" s="71">
        <v>20029808.673779998</v>
      </c>
      <c r="BC29" s="71">
        <v>20949403.143560003</v>
      </c>
      <c r="BD29" s="71">
        <v>21895562.141310003</v>
      </c>
      <c r="BE29" s="71">
        <v>23995669.14852</v>
      </c>
      <c r="BF29" s="71">
        <v>24988866</v>
      </c>
      <c r="BG29" s="71">
        <v>25903696</v>
      </c>
    </row>
    <row r="30" spans="2:59" x14ac:dyDescent="0.25">
      <c r="B30" s="167" t="s">
        <v>130</v>
      </c>
      <c r="C30" s="83">
        <f>+C6/C26-1</f>
        <v>2.0358475397620639</v>
      </c>
      <c r="D30" s="7"/>
      <c r="E30" s="7"/>
      <c r="F30" s="84">
        <f>+F6/F26-1</f>
        <v>-0.70607077915910477</v>
      </c>
      <c r="G30" s="85"/>
      <c r="H30" s="86">
        <f>+H6/H26-1</f>
        <v>1.4808779634065861</v>
      </c>
      <c r="I30" s="12"/>
      <c r="J30" s="8"/>
      <c r="L30" s="167" t="s">
        <v>130</v>
      </c>
      <c r="M30" s="86">
        <f>+M6/M26-1</f>
        <v>2.2512518980389622</v>
      </c>
      <c r="N30" s="7"/>
      <c r="O30" s="7"/>
      <c r="P30" s="83">
        <f>+P6/P26-1</f>
        <v>3.9642828201525839</v>
      </c>
      <c r="Q30" s="7"/>
      <c r="R30" s="7"/>
      <c r="S30" s="83">
        <f>+S6/S26-1</f>
        <v>1.7898499925015456</v>
      </c>
      <c r="T30" s="83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</row>
    <row r="31" spans="2:59" x14ac:dyDescent="0.25">
      <c r="B31" s="168" t="s">
        <v>131</v>
      </c>
      <c r="C31" s="3"/>
      <c r="D31" s="3"/>
      <c r="E31" s="3"/>
      <c r="F31" s="88"/>
      <c r="G31" s="85"/>
      <c r="H31" s="85"/>
      <c r="I31" s="85"/>
      <c r="J31" s="87"/>
      <c r="L31" s="168" t="s">
        <v>131</v>
      </c>
      <c r="M31" s="3"/>
      <c r="N31" s="3"/>
      <c r="O31" s="3"/>
      <c r="P31" s="3"/>
      <c r="Q31" s="173"/>
      <c r="R31" s="173"/>
      <c r="S31" s="3"/>
      <c r="T31" s="240"/>
      <c r="AL31" s="53" t="s">
        <v>121</v>
      </c>
      <c r="AM31" s="68">
        <f t="shared" ref="AM31:AX31" si="39">+AM29+AM27</f>
        <v>11031241</v>
      </c>
      <c r="AN31" s="68">
        <f t="shared" si="39"/>
        <v>11425791.4</v>
      </c>
      <c r="AO31" s="68">
        <f t="shared" si="39"/>
        <v>11783200.185000001</v>
      </c>
      <c r="AP31" s="68">
        <f t="shared" si="39"/>
        <v>12186100.039625</v>
      </c>
      <c r="AQ31" s="68">
        <f t="shared" si="39"/>
        <v>12595435.190615624</v>
      </c>
      <c r="AR31" s="68">
        <f t="shared" si="39"/>
        <v>13189199.095381016</v>
      </c>
      <c r="AS31" s="68">
        <f t="shared" si="39"/>
        <v>14284843.497765541</v>
      </c>
      <c r="AT31" s="68">
        <f t="shared" si="39"/>
        <v>15310006.485209679</v>
      </c>
      <c r="AU31" s="68">
        <f t="shared" si="39"/>
        <v>15456949.697339922</v>
      </c>
      <c r="AV31" s="68">
        <f t="shared" si="39"/>
        <v>16048875.539773419</v>
      </c>
      <c r="AW31" s="68">
        <f t="shared" si="39"/>
        <v>16558664.903267754</v>
      </c>
      <c r="AX31" s="68">
        <f t="shared" si="39"/>
        <v>17562767.303374555</v>
      </c>
      <c r="AY31" s="53" t="s">
        <v>121</v>
      </c>
      <c r="AZ31" s="68">
        <f t="shared" ref="AZ31:BG31" si="40">+AZ29+AZ27</f>
        <v>18120834.378050685</v>
      </c>
      <c r="BA31" s="68">
        <f t="shared" si="40"/>
        <v>18715985.503659952</v>
      </c>
      <c r="BB31" s="68">
        <f t="shared" si="40"/>
        <v>19519656.51549945</v>
      </c>
      <c r="BC31" s="68">
        <f t="shared" si="40"/>
        <v>20331013.181322441</v>
      </c>
      <c r="BD31" s="68">
        <f t="shared" si="40"/>
        <v>21213937.430016503</v>
      </c>
      <c r="BE31" s="68">
        <f t="shared" si="40"/>
        <v>23231282.819444161</v>
      </c>
      <c r="BF31" s="68">
        <f t="shared" si="40"/>
        <v>24141549.012697265</v>
      </c>
      <c r="BG31" s="68">
        <f t="shared" si="40"/>
        <v>25017956.088014696</v>
      </c>
    </row>
    <row r="32" spans="2:59" x14ac:dyDescent="0.25">
      <c r="B32" s="168"/>
      <c r="F32" s="42"/>
      <c r="G32" s="43"/>
      <c r="H32" s="43"/>
      <c r="I32" s="43"/>
      <c r="J32" s="44"/>
      <c r="L32" s="168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</row>
    <row r="33" spans="2:59" x14ac:dyDescent="0.25">
      <c r="B33" s="167" t="s">
        <v>130</v>
      </c>
      <c r="C33" s="83">
        <f>+C28/$S28</f>
        <v>0.86450994484225407</v>
      </c>
      <c r="D33" s="7">
        <f>+D28/$S28</f>
        <v>0.20594564380547462</v>
      </c>
      <c r="E33" s="7">
        <f>+E28/$S28</f>
        <v>0.65856430103677943</v>
      </c>
      <c r="F33" s="84">
        <f>+F28/$S28</f>
        <v>-4.3349761443616616E-2</v>
      </c>
      <c r="G33" s="12"/>
      <c r="H33" s="86">
        <f>+H28/$S28</f>
        <v>5.2602524980714653E-2</v>
      </c>
      <c r="I33" s="12">
        <f>+I28/$S28</f>
        <v>2.8400298934273961E-2</v>
      </c>
      <c r="J33" s="8">
        <f>+J28/$S28</f>
        <v>2.4202226046440695E-2</v>
      </c>
      <c r="L33" s="167" t="s">
        <v>130</v>
      </c>
      <c r="M33" s="83">
        <f t="shared" ref="M33:S33" si="41">+M28/$S28</f>
        <v>2.762080409104618E-2</v>
      </c>
      <c r="N33" s="7">
        <f t="shared" si="41"/>
        <v>1.0163294121640184E-2</v>
      </c>
      <c r="O33" s="7">
        <f t="shared" si="41"/>
        <v>1.7457509969405996E-2</v>
      </c>
      <c r="P33" s="83">
        <f t="shared" si="41"/>
        <v>9.8616487529601712E-2</v>
      </c>
      <c r="Q33" s="7">
        <f t="shared" si="41"/>
        <v>0.14847095098570592</v>
      </c>
      <c r="R33" s="7">
        <f t="shared" si="41"/>
        <v>-4.9854463456104205E-2</v>
      </c>
      <c r="S33" s="83">
        <f t="shared" si="41"/>
        <v>1</v>
      </c>
      <c r="T33" s="83"/>
      <c r="AL33" s="56" t="s">
        <v>25</v>
      </c>
      <c r="AM33" s="7">
        <f>+AM31/AM29-1</f>
        <v>1.0214169982989407E-3</v>
      </c>
      <c r="AN33" s="7">
        <f>+AN31/AN29-1</f>
        <v>6.2629174752859562E-4</v>
      </c>
      <c r="AO33" s="7">
        <f t="shared" ref="AO33:BG33" si="42">+AO31/AO29-1</f>
        <v>6.1091893125730934E-4</v>
      </c>
      <c r="AP33" s="7">
        <f t="shared" si="42"/>
        <v>-1.5047344160212806E-4</v>
      </c>
      <c r="AQ33" s="7">
        <f t="shared" si="42"/>
        <v>-7.3970548618784715E-4</v>
      </c>
      <c r="AR33" s="7">
        <f t="shared" si="42"/>
        <v>-2.7540407449224702E-3</v>
      </c>
      <c r="AS33" s="7">
        <f t="shared" si="42"/>
        <v>-2.7255528063797607E-3</v>
      </c>
      <c r="AT33" s="7">
        <f t="shared" si="42"/>
        <v>-3.6983219833722769E-3</v>
      </c>
      <c r="AU33" s="7">
        <f t="shared" si="42"/>
        <v>-5.7202503519311332E-3</v>
      </c>
      <c r="AV33" s="7">
        <f t="shared" si="42"/>
        <v>-7.7570678290126427E-3</v>
      </c>
      <c r="AW33" s="7">
        <f t="shared" si="42"/>
        <v>-8.7623907497291764E-3</v>
      </c>
      <c r="AX33" s="7">
        <f t="shared" si="42"/>
        <v>-1.9215461549761947E-2</v>
      </c>
      <c r="AY33" s="167" t="s">
        <v>130</v>
      </c>
      <c r="AZ33" s="7">
        <f t="shared" si="42"/>
        <v>-2.0546904767310026E-2</v>
      </c>
      <c r="BA33" s="7">
        <f t="shared" si="42"/>
        <v>-2.1612784503303506E-2</v>
      </c>
      <c r="BB33" s="7">
        <f t="shared" si="42"/>
        <v>-2.5469647093951608E-2</v>
      </c>
      <c r="BC33" s="7">
        <f t="shared" si="42"/>
        <v>-2.9518261594371986E-2</v>
      </c>
      <c r="BD33" s="7">
        <f t="shared" si="42"/>
        <v>-3.113072443148146E-2</v>
      </c>
      <c r="BE33" s="7">
        <f t="shared" si="42"/>
        <v>-3.1855178713488197E-2</v>
      </c>
      <c r="BF33" s="7">
        <f t="shared" si="42"/>
        <v>-3.3907780661304732E-2</v>
      </c>
      <c r="BG33" s="7">
        <f t="shared" si="42"/>
        <v>-3.4193572684967588E-2</v>
      </c>
    </row>
    <row r="34" spans="2:59" x14ac:dyDescent="0.25">
      <c r="B34" s="168" t="s">
        <v>132</v>
      </c>
      <c r="C34" s="52"/>
      <c r="F34" s="69"/>
      <c r="G34" s="43"/>
      <c r="H34" s="70"/>
      <c r="I34" s="43"/>
      <c r="J34" s="44"/>
      <c r="L34" s="168" t="s">
        <v>132</v>
      </c>
      <c r="M34" s="52"/>
      <c r="P34" s="52"/>
      <c r="S34" s="52"/>
      <c r="T34" s="52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168"/>
      <c r="AZ34" s="56"/>
      <c r="BA34" s="56"/>
      <c r="BB34" s="56"/>
      <c r="BC34" s="56"/>
      <c r="BD34" s="56"/>
      <c r="BE34" s="56"/>
      <c r="BF34" s="56"/>
      <c r="BG34" s="56"/>
    </row>
    <row r="35" spans="2:59" x14ac:dyDescent="0.25">
      <c r="F35" s="42"/>
      <c r="G35" s="43"/>
      <c r="H35" s="43"/>
      <c r="I35" s="43"/>
      <c r="J35" s="44"/>
      <c r="AL35" s="53" t="s">
        <v>119</v>
      </c>
      <c r="AM35" s="53"/>
      <c r="AN35" s="53">
        <f>+AN27+AM27</f>
        <v>18407.400000000001</v>
      </c>
      <c r="AO35" s="53">
        <f t="shared" ref="AO35:AX35" si="43">+AO27+AN35</f>
        <v>25601.584999999999</v>
      </c>
      <c r="AP35" s="53">
        <f t="shared" si="43"/>
        <v>23767.624624999997</v>
      </c>
      <c r="AQ35" s="53">
        <f t="shared" si="43"/>
        <v>14443.815240625001</v>
      </c>
      <c r="AR35" s="53">
        <f t="shared" si="43"/>
        <v>-21980.089378359371</v>
      </c>
      <c r="AS35" s="53">
        <f t="shared" si="43"/>
        <v>-61020.59161281836</v>
      </c>
      <c r="AT35" s="53">
        <f t="shared" si="43"/>
        <v>-117852.10640313881</v>
      </c>
      <c r="AU35" s="53">
        <f t="shared" si="43"/>
        <v>-206778.40906321729</v>
      </c>
      <c r="AV35" s="53">
        <f t="shared" si="43"/>
        <v>-332243.86928979773</v>
      </c>
      <c r="AW35" s="53">
        <f t="shared" si="43"/>
        <v>-478619.96602204267</v>
      </c>
      <c r="AX35" s="53">
        <f t="shared" si="43"/>
        <v>-822708.46517259371</v>
      </c>
      <c r="AY35" s="281" t="s">
        <v>119</v>
      </c>
      <c r="AZ35" s="53">
        <f>+AZ27+AX35</f>
        <v>-1202846.1768019085</v>
      </c>
      <c r="BA35" s="53">
        <f t="shared" ref="BA35:BG35" si="44">+BA27+AZ35</f>
        <v>-1616286.3312219561</v>
      </c>
      <c r="BB35" s="53">
        <f t="shared" si="44"/>
        <v>-2126438.4895025049</v>
      </c>
      <c r="BC35" s="53">
        <f t="shared" si="44"/>
        <v>-2744828.4517400675</v>
      </c>
      <c r="BD35" s="53">
        <f t="shared" si="44"/>
        <v>-3426453.1630335688</v>
      </c>
      <c r="BE35" s="53">
        <f t="shared" si="44"/>
        <v>-4190839.4921094077</v>
      </c>
      <c r="BF35" s="53">
        <f t="shared" si="44"/>
        <v>-5038156.4794121422</v>
      </c>
      <c r="BG35" s="53">
        <f t="shared" si="44"/>
        <v>-5923896.3913974455</v>
      </c>
    </row>
    <row r="36" spans="2:59" ht="15.75" customHeight="1" x14ac:dyDescent="0.25">
      <c r="B36" s="167" t="s">
        <v>130</v>
      </c>
      <c r="C36" s="7">
        <f>+C28/C28</f>
        <v>1</v>
      </c>
      <c r="D36" s="7">
        <f>+D28/C28</f>
        <v>0.23822241147619561</v>
      </c>
      <c r="E36" s="7">
        <f>+E28/C28</f>
        <v>0.76177758852380439</v>
      </c>
      <c r="F36" s="89"/>
      <c r="G36" s="90"/>
      <c r="H36" s="90">
        <f>+H28/H28</f>
        <v>1</v>
      </c>
      <c r="I36" s="90">
        <f>+I28/H28</f>
        <v>0.53990372030023637</v>
      </c>
      <c r="J36" s="91">
        <f>+J28/H28</f>
        <v>0.46009627969976363</v>
      </c>
      <c r="L36" s="167" t="s">
        <v>130</v>
      </c>
      <c r="M36" s="7">
        <f>+M28/M28</f>
        <v>1</v>
      </c>
      <c r="N36" s="7">
        <f>+N28/M28</f>
        <v>0.36795793808677763</v>
      </c>
      <c r="O36" s="7">
        <f>+O28/M28</f>
        <v>0.63204206191322243</v>
      </c>
      <c r="P36" s="7">
        <f>+P28/P28</f>
        <v>1</v>
      </c>
      <c r="Q36" s="7">
        <f>+Q28/P28</f>
        <v>1.5055388272791543</v>
      </c>
      <c r="R36" s="7">
        <f>+R28/P28</f>
        <v>-0.50553882727915445</v>
      </c>
      <c r="S36" s="3"/>
      <c r="T36" s="240"/>
      <c r="AY36" s="281"/>
    </row>
    <row r="37" spans="2:59" ht="15.75" customHeight="1" x14ac:dyDescent="0.25">
      <c r="B37" s="168" t="s">
        <v>133</v>
      </c>
      <c r="L37" s="168" t="s">
        <v>133</v>
      </c>
      <c r="AY37" s="168"/>
    </row>
    <row r="38" spans="2:59" ht="15.75" customHeight="1" x14ac:dyDescent="0.25"/>
    <row r="40" spans="2:59" x14ac:dyDescent="0.25">
      <c r="B40" s="2"/>
      <c r="L40" s="2"/>
      <c r="AY40" s="2"/>
    </row>
    <row r="41" spans="2:59" x14ac:dyDescent="0.25">
      <c r="E41" s="39" t="s">
        <v>21</v>
      </c>
      <c r="F41" s="40"/>
      <c r="G41" s="40"/>
      <c r="H41" s="40"/>
      <c r="I41" s="40"/>
      <c r="J41" s="41"/>
    </row>
    <row r="42" spans="2:59" ht="15.75" customHeight="1" x14ac:dyDescent="0.25">
      <c r="E42" s="42">
        <v>2015</v>
      </c>
      <c r="F42" s="43">
        <v>2016</v>
      </c>
      <c r="G42" s="43">
        <v>2017</v>
      </c>
      <c r="H42" s="43">
        <v>2018</v>
      </c>
      <c r="I42" s="43">
        <v>2019</v>
      </c>
      <c r="J42" s="44" t="s">
        <v>15</v>
      </c>
    </row>
    <row r="43" spans="2:59" x14ac:dyDescent="0.25">
      <c r="E43" s="45">
        <v>513403</v>
      </c>
      <c r="F43" s="13">
        <v>287247</v>
      </c>
      <c r="G43" s="13">
        <v>348249</v>
      </c>
      <c r="H43" s="13">
        <v>424464</v>
      </c>
      <c r="I43" s="46">
        <v>321054</v>
      </c>
      <c r="J43" s="47">
        <v>394040</v>
      </c>
    </row>
    <row r="44" spans="2:59" x14ac:dyDescent="0.25">
      <c r="E44" s="48"/>
      <c r="F44" s="49"/>
      <c r="G44" s="49"/>
      <c r="H44" s="49"/>
      <c r="I44" s="49"/>
      <c r="J44" s="50"/>
    </row>
  </sheetData>
  <mergeCells count="15">
    <mergeCell ref="C1:J1"/>
    <mergeCell ref="C2:J2"/>
    <mergeCell ref="AY35:AY36"/>
    <mergeCell ref="AP7:AS9"/>
    <mergeCell ref="L2:T2"/>
    <mergeCell ref="L1:T1"/>
    <mergeCell ref="AZ7:BC9"/>
    <mergeCell ref="V4:AE4"/>
    <mergeCell ref="AF4:AJ4"/>
    <mergeCell ref="V1:AJ1"/>
    <mergeCell ref="V2:AJ2"/>
    <mergeCell ref="AM1:AX1"/>
    <mergeCell ref="AM2:AX2"/>
    <mergeCell ref="AY2:BG2"/>
    <mergeCell ref="AY1:BG1"/>
  </mergeCells>
  <pageMargins left="0.2" right="0.2" top="0.75" bottom="0.25" header="0.3" footer="0.3"/>
  <pageSetup scale="85" orientation="landscape" r:id="rId1"/>
  <headerFooter>
    <oddFooter>&amp;LS. Pratt&amp;CDLS Municpal Data Bank Gateway&amp;RJune 2019</oddFooter>
  </headerFooter>
  <colBreaks count="3" manualBreakCount="3">
    <brk id="10" max="1048575" man="1"/>
    <brk id="20" max="1048575" man="1"/>
    <brk id="3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9"/>
  <sheetViews>
    <sheetView workbookViewId="0">
      <pane xSplit="1" ySplit="5" topLeftCell="B6" activePane="bottomRight" state="frozen"/>
      <selection activeCell="AO16" sqref="AO16"/>
      <selection pane="topRight" activeCell="AO16" sqref="AO16"/>
      <selection pane="bottomLeft" activeCell="AO16" sqref="AO16"/>
      <selection pane="bottomRight" activeCell="A2" sqref="A2:L2"/>
    </sheetView>
  </sheetViews>
  <sheetFormatPr defaultRowHeight="15" x14ac:dyDescent="0.25"/>
  <cols>
    <col min="1" max="1" width="7.140625" customWidth="1"/>
    <col min="2" max="2" width="10.85546875" bestFit="1" customWidth="1"/>
    <col min="3" max="3" width="9.85546875" bestFit="1" customWidth="1"/>
    <col min="5" max="5" width="9.85546875" bestFit="1" customWidth="1"/>
    <col min="7" max="7" width="11" customWidth="1"/>
    <col min="8" max="8" width="9.140625" customWidth="1"/>
    <col min="9" max="9" width="12.85546875" customWidth="1"/>
    <col min="10" max="10" width="10" customWidth="1"/>
    <col min="11" max="11" width="11.42578125" customWidth="1"/>
    <col min="13" max="13" width="0" hidden="1" customWidth="1"/>
    <col min="15" max="15" width="10.85546875" bestFit="1" customWidth="1"/>
  </cols>
  <sheetData>
    <row r="1" spans="1:15" ht="15.75" x14ac:dyDescent="0.25">
      <c r="A1" s="284" t="s">
        <v>20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5" x14ac:dyDescent="0.25">
      <c r="A2" s="280" t="s">
        <v>167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5" ht="6.75" customHeight="1" x14ac:dyDescent="0.25"/>
    <row r="4" spans="1:15" ht="28.5" customHeight="1" x14ac:dyDescent="0.25">
      <c r="G4" s="283" t="s">
        <v>27</v>
      </c>
      <c r="H4" s="283"/>
      <c r="I4" s="283" t="s">
        <v>153</v>
      </c>
      <c r="J4" s="283"/>
      <c r="K4" s="283" t="s">
        <v>26</v>
      </c>
      <c r="L4" s="283"/>
    </row>
    <row r="5" spans="1:15" ht="45" x14ac:dyDescent="0.25">
      <c r="A5" s="142" t="s">
        <v>6</v>
      </c>
      <c r="B5" s="33" t="s">
        <v>24</v>
      </c>
      <c r="C5" s="142" t="s">
        <v>136</v>
      </c>
      <c r="D5" s="142" t="s">
        <v>25</v>
      </c>
      <c r="E5" s="142" t="s">
        <v>22</v>
      </c>
      <c r="F5" s="33" t="s">
        <v>23</v>
      </c>
      <c r="G5" s="142" t="s">
        <v>22</v>
      </c>
      <c r="H5" s="33" t="s">
        <v>23</v>
      </c>
      <c r="I5" s="142" t="s">
        <v>28</v>
      </c>
      <c r="J5" s="33" t="s">
        <v>23</v>
      </c>
      <c r="K5" s="142" t="s">
        <v>154</v>
      </c>
      <c r="L5" s="33" t="s">
        <v>23</v>
      </c>
    </row>
    <row r="6" spans="1:15" x14ac:dyDescent="0.25">
      <c r="A6" s="76" t="s">
        <v>15</v>
      </c>
      <c r="B6" s="229">
        <f>24824537+620613+1092050</f>
        <v>26537200</v>
      </c>
      <c r="C6" s="77">
        <f>+B6-B7</f>
        <v>633504</v>
      </c>
      <c r="D6" s="78">
        <f>+B6/B7-1</f>
        <v>2.445612394462926E-2</v>
      </c>
      <c r="E6" s="77">
        <f t="shared" ref="E6:E10" si="0">+E7*1.025</f>
        <v>7776691.7391933398</v>
      </c>
      <c r="F6" s="82">
        <f>+E6/$B6</f>
        <v>0.29304869161755348</v>
      </c>
      <c r="G6" s="77">
        <f t="shared" ref="G6:G36" si="1">+G7*1.025</f>
        <v>3611803.0274604354</v>
      </c>
      <c r="H6" s="82">
        <f>+G6/$B6</f>
        <v>0.13610339551499162</v>
      </c>
      <c r="I6" s="231">
        <v>1092050</v>
      </c>
      <c r="J6" s="82">
        <f t="shared" ref="J6" si="2">+I6/$B6</f>
        <v>4.1151666340081092E-2</v>
      </c>
      <c r="K6" s="77">
        <f t="shared" ref="K6" si="3">+B6-G6-E6-I6</f>
        <v>14056655.233346228</v>
      </c>
      <c r="L6" s="78">
        <f>+K6/B6</f>
        <v>0.5296962465273739</v>
      </c>
      <c r="M6" s="7">
        <f>+K6/K7-1</f>
        <v>2.6020542125679835E-2</v>
      </c>
    </row>
    <row r="7" spans="1:15" x14ac:dyDescent="0.25">
      <c r="A7" s="76">
        <v>2019</v>
      </c>
      <c r="B7" s="107">
        <v>25903696</v>
      </c>
      <c r="C7" s="77">
        <f>+B7-B8</f>
        <v>914830</v>
      </c>
      <c r="D7" s="78">
        <f>+B7/B8-1</f>
        <v>3.6609504408883442E-2</v>
      </c>
      <c r="E7" s="77">
        <f t="shared" si="0"/>
        <v>7587016.3309203321</v>
      </c>
      <c r="F7" s="82">
        <f>+E7/$B7</f>
        <v>0.29289319682103787</v>
      </c>
      <c r="G7" s="77">
        <f t="shared" si="1"/>
        <v>3523710.270693108</v>
      </c>
      <c r="H7" s="82">
        <f>+G7/$B7</f>
        <v>0.13603117758535724</v>
      </c>
      <c r="I7" s="231">
        <v>1092800</v>
      </c>
      <c r="J7" s="82">
        <f t="shared" ref="J7" si="4">+I7/$B7</f>
        <v>4.2187029989851639E-2</v>
      </c>
      <c r="K7" s="77">
        <f t="shared" ref="K7:K42" si="5">+B7-G7-E7-I7</f>
        <v>13700169.39838656</v>
      </c>
      <c r="L7" s="78">
        <f>+K7/B7</f>
        <v>0.52888859560375323</v>
      </c>
      <c r="M7" s="7">
        <f t="shared" ref="M7:M42" si="6">+K7/K8-1</f>
        <v>4.9272031092855162E-2</v>
      </c>
    </row>
    <row r="8" spans="1:15" x14ac:dyDescent="0.25">
      <c r="A8" s="254">
        <v>2018</v>
      </c>
      <c r="B8" s="107">
        <v>24988866</v>
      </c>
      <c r="C8" s="77">
        <f t="shared" ref="C8:C43" si="7">+B8-B9</f>
        <v>993196.85147999972</v>
      </c>
      <c r="D8" s="78">
        <f t="shared" ref="D8:D43" si="8">+B8/B9-1</f>
        <v>4.139067118039752E-2</v>
      </c>
      <c r="E8" s="77">
        <f t="shared" si="0"/>
        <v>7401967.1521173976</v>
      </c>
      <c r="F8" s="82">
        <f t="shared" ref="F8:F44" si="9">+E8/$B8</f>
        <v>0.29621060644038022</v>
      </c>
      <c r="G8" s="77">
        <f t="shared" si="1"/>
        <v>3437766.1177493739</v>
      </c>
      <c r="H8" s="82">
        <f t="shared" ref="H8:J38" si="10">+G8/$B8</f>
        <v>0.13757191373747707</v>
      </c>
      <c r="I8" s="231">
        <v>1092300</v>
      </c>
      <c r="J8" s="82">
        <f t="shared" ref="J8" si="11">+I8/$B8</f>
        <v>4.3711467339094139E-2</v>
      </c>
      <c r="K8" s="77">
        <f t="shared" si="5"/>
        <v>13056832.730133228</v>
      </c>
      <c r="L8" s="78">
        <f t="shared" ref="L8:L43" si="12">+K8/B8</f>
        <v>0.52250601248304862</v>
      </c>
      <c r="M8" s="7">
        <f t="shared" si="6"/>
        <v>5.9072722880903372E-2</v>
      </c>
      <c r="O8" s="56"/>
    </row>
    <row r="9" spans="1:15" x14ac:dyDescent="0.25">
      <c r="A9" s="255">
        <v>2017</v>
      </c>
      <c r="B9" s="107">
        <v>23995669.14852</v>
      </c>
      <c r="C9" s="77">
        <f t="shared" si="7"/>
        <v>2100107.0072099976</v>
      </c>
      <c r="D9" s="78">
        <f t="shared" si="8"/>
        <v>9.5914733481437198E-2</v>
      </c>
      <c r="E9" s="77">
        <f t="shared" si="0"/>
        <v>7221431.3679194134</v>
      </c>
      <c r="F9" s="82">
        <f t="shared" si="9"/>
        <v>0.30094728024556111</v>
      </c>
      <c r="G9" s="77">
        <f t="shared" si="1"/>
        <v>3353918.163657926</v>
      </c>
      <c r="H9" s="82">
        <f t="shared" si="10"/>
        <v>0.13977181227574928</v>
      </c>
      <c r="I9" s="231">
        <v>1091768</v>
      </c>
      <c r="J9" s="82">
        <f t="shared" ref="J9" si="13">+I9/$B9</f>
        <v>4.5498543643128109E-2</v>
      </c>
      <c r="K9" s="77">
        <f t="shared" si="5"/>
        <v>12328551.616942661</v>
      </c>
      <c r="L9" s="78">
        <f t="shared" si="12"/>
        <v>0.51378236383556153</v>
      </c>
      <c r="M9" s="7">
        <f t="shared" si="6"/>
        <v>6.4812062784484814E-2</v>
      </c>
    </row>
    <row r="10" spans="1:15" x14ac:dyDescent="0.25">
      <c r="A10" s="255">
        <v>2016</v>
      </c>
      <c r="B10" s="107">
        <v>21895562.141310003</v>
      </c>
      <c r="C10" s="77">
        <f t="shared" si="7"/>
        <v>946158.99774999917</v>
      </c>
      <c r="D10" s="78">
        <f t="shared" si="8"/>
        <v>4.5164007359362657E-2</v>
      </c>
      <c r="E10" s="77">
        <f t="shared" si="0"/>
        <v>7045298.8955311356</v>
      </c>
      <c r="F10" s="82">
        <f t="shared" si="9"/>
        <v>0.32176834968027079</v>
      </c>
      <c r="G10" s="77">
        <f t="shared" si="1"/>
        <v>3272115.2816174892</v>
      </c>
      <c r="H10" s="82">
        <f t="shared" si="10"/>
        <v>0.14944193990087343</v>
      </c>
      <c r="I10" s="79">
        <v>0</v>
      </c>
      <c r="J10" s="82">
        <f t="shared" ref="J10" si="14">+I10/$B10</f>
        <v>0</v>
      </c>
      <c r="K10" s="77">
        <f t="shared" si="5"/>
        <v>11578147.964161377</v>
      </c>
      <c r="L10" s="78">
        <f t="shared" si="12"/>
        <v>0.5287897104188557</v>
      </c>
      <c r="M10" s="7">
        <f t="shared" si="6"/>
        <v>6.3812766916198083E-2</v>
      </c>
    </row>
    <row r="11" spans="1:15" x14ac:dyDescent="0.25">
      <c r="A11" s="254">
        <v>2015</v>
      </c>
      <c r="B11" s="107">
        <v>20949403.143560003</v>
      </c>
      <c r="C11" s="77">
        <f t="shared" si="7"/>
        <v>919594.46978000551</v>
      </c>
      <c r="D11" s="78">
        <f t="shared" si="8"/>
        <v>4.5911295747113057E-2</v>
      </c>
      <c r="E11" s="77">
        <f t="shared" ref="E11:E24" si="15">+E12*1.025</f>
        <v>6873462.3371035475</v>
      </c>
      <c r="F11" s="82">
        <f t="shared" si="9"/>
        <v>0.32809824174950297</v>
      </c>
      <c r="G11" s="77">
        <f t="shared" si="1"/>
        <v>3192307.5918219411</v>
      </c>
      <c r="H11" s="82">
        <f t="shared" si="10"/>
        <v>0.15238179197497945</v>
      </c>
      <c r="I11" s="79">
        <v>0</v>
      </c>
      <c r="J11" s="82">
        <f t="shared" ref="J11" si="16">+I11/$B11</f>
        <v>0</v>
      </c>
      <c r="K11" s="77">
        <f t="shared" si="5"/>
        <v>10883633.214634513</v>
      </c>
      <c r="L11" s="78">
        <f t="shared" si="12"/>
        <v>0.51951996627551755</v>
      </c>
      <c r="M11" s="7">
        <f t="shared" si="6"/>
        <v>6.6025260132478669E-2</v>
      </c>
    </row>
    <row r="12" spans="1:15" x14ac:dyDescent="0.25">
      <c r="A12" s="256">
        <v>2014</v>
      </c>
      <c r="B12" s="107">
        <v>20029808.673779998</v>
      </c>
      <c r="C12" s="77">
        <f t="shared" si="7"/>
        <v>900383.01569999754</v>
      </c>
      <c r="D12" s="78">
        <f t="shared" si="8"/>
        <v>4.7067958640968799E-2</v>
      </c>
      <c r="E12" s="77">
        <f t="shared" si="15"/>
        <v>6705816.9142473638</v>
      </c>
      <c r="F12" s="82">
        <f t="shared" si="9"/>
        <v>0.3347918606444607</v>
      </c>
      <c r="G12" s="77">
        <f t="shared" si="1"/>
        <v>3114446.4310457963</v>
      </c>
      <c r="H12" s="82">
        <f t="shared" si="10"/>
        <v>0.15549057316372469</v>
      </c>
      <c r="I12" s="79">
        <v>0</v>
      </c>
      <c r="J12" s="82">
        <f t="shared" ref="J12" si="17">+I12/$B12</f>
        <v>0</v>
      </c>
      <c r="K12" s="77">
        <f t="shared" si="5"/>
        <v>10209545.328486837</v>
      </c>
      <c r="L12" s="78">
        <f t="shared" si="12"/>
        <v>0.50971756619181452</v>
      </c>
      <c r="M12" s="7">
        <f t="shared" si="6"/>
        <v>6.9210019928411803E-2</v>
      </c>
    </row>
    <row r="13" spans="1:15" x14ac:dyDescent="0.25">
      <c r="A13" s="256">
        <v>2013</v>
      </c>
      <c r="B13" s="107">
        <v>19129425.65808</v>
      </c>
      <c r="C13" s="77">
        <f t="shared" si="7"/>
        <v>628453.56839999929</v>
      </c>
      <c r="D13" s="78">
        <f t="shared" si="8"/>
        <v>3.3968678259373997E-2</v>
      </c>
      <c r="E13" s="77">
        <f t="shared" si="15"/>
        <v>6542260.4041437702</v>
      </c>
      <c r="F13" s="82">
        <f t="shared" si="9"/>
        <v>0.34199983423864122</v>
      </c>
      <c r="G13" s="77">
        <f t="shared" si="1"/>
        <v>3038484.3229715088</v>
      </c>
      <c r="H13" s="82">
        <f t="shared" si="10"/>
        <v>0.15883824100532237</v>
      </c>
      <c r="I13" s="79">
        <v>0</v>
      </c>
      <c r="J13" s="82">
        <f t="shared" ref="J13" si="18">+I13/$B13</f>
        <v>0</v>
      </c>
      <c r="K13" s="77">
        <f t="shared" si="5"/>
        <v>9548680.9309647232</v>
      </c>
      <c r="L13" s="78">
        <f t="shared" si="12"/>
        <v>0.49916192475603649</v>
      </c>
      <c r="M13" s="7">
        <f t="shared" si="6"/>
        <v>4.3126611881873167E-2</v>
      </c>
    </row>
    <row r="14" spans="1:15" x14ac:dyDescent="0.25">
      <c r="A14" s="254">
        <v>2012</v>
      </c>
      <c r="B14" s="107">
        <v>18500972.089680001</v>
      </c>
      <c r="C14" s="77">
        <f t="shared" si="7"/>
        <v>594116.28715489432</v>
      </c>
      <c r="D14" s="78">
        <f t="shared" si="8"/>
        <v>3.317814661081453E-2</v>
      </c>
      <c r="E14" s="77">
        <f t="shared" si="15"/>
        <v>6382693.0772134345</v>
      </c>
      <c r="F14" s="82">
        <f t="shared" si="9"/>
        <v>0.34499230885136867</v>
      </c>
      <c r="G14" s="77">
        <f t="shared" si="1"/>
        <v>2964374.9492404968</v>
      </c>
      <c r="H14" s="82">
        <f t="shared" si="10"/>
        <v>0.16022806449689475</v>
      </c>
      <c r="I14" s="79">
        <v>0</v>
      </c>
      <c r="J14" s="82">
        <f t="shared" ref="J14" si="19">+I14/$B14</f>
        <v>0</v>
      </c>
      <c r="K14" s="77">
        <f t="shared" si="5"/>
        <v>9153904.0632260703</v>
      </c>
      <c r="L14" s="78">
        <f t="shared" si="12"/>
        <v>0.49477962665173664</v>
      </c>
      <c r="M14" s="7">
        <f t="shared" si="6"/>
        <v>4.1664634448202564E-2</v>
      </c>
    </row>
    <row r="15" spans="1:15" x14ac:dyDescent="0.25">
      <c r="A15" s="256">
        <v>2011</v>
      </c>
      <c r="B15" s="107">
        <v>17906855.802525107</v>
      </c>
      <c r="C15" s="77">
        <f t="shared" si="7"/>
        <v>1201814.8025251068</v>
      </c>
      <c r="D15" s="78">
        <f t="shared" si="8"/>
        <v>7.1943241715186845E-2</v>
      </c>
      <c r="E15" s="77">
        <f t="shared" si="15"/>
        <v>6227017.6363057904</v>
      </c>
      <c r="F15" s="82">
        <f t="shared" si="9"/>
        <v>0.34774489195516373</v>
      </c>
      <c r="G15" s="77">
        <f t="shared" si="1"/>
        <v>2892073.1212102412</v>
      </c>
      <c r="H15" s="82">
        <f t="shared" si="10"/>
        <v>0.16150647288969738</v>
      </c>
      <c r="I15" s="79">
        <v>0</v>
      </c>
      <c r="J15" s="82">
        <f t="shared" ref="J15" si="20">+I15/$B15</f>
        <v>0</v>
      </c>
      <c r="K15" s="77">
        <f t="shared" si="5"/>
        <v>8787765.0450090747</v>
      </c>
      <c r="L15" s="78">
        <f t="shared" si="12"/>
        <v>0.49074863515513883</v>
      </c>
      <c r="M15" s="7">
        <f t="shared" si="6"/>
        <v>0.12542929186903584</v>
      </c>
    </row>
    <row r="16" spans="1:15" x14ac:dyDescent="0.25">
      <c r="A16" s="256">
        <v>2010</v>
      </c>
      <c r="B16" s="107">
        <v>16705041</v>
      </c>
      <c r="C16" s="77">
        <f t="shared" si="7"/>
        <v>530700</v>
      </c>
      <c r="D16" s="78">
        <f t="shared" si="8"/>
        <v>3.2811228599669118E-2</v>
      </c>
      <c r="E16" s="77">
        <f t="shared" si="15"/>
        <v>6075139.1573715033</v>
      </c>
      <c r="F16" s="82">
        <f t="shared" si="9"/>
        <v>0.36367101148518599</v>
      </c>
      <c r="G16" s="77">
        <f t="shared" si="1"/>
        <v>2821534.7524002357</v>
      </c>
      <c r="H16" s="82">
        <f t="shared" si="10"/>
        <v>0.16890319229987139</v>
      </c>
      <c r="I16" s="79">
        <v>0</v>
      </c>
      <c r="J16" s="82">
        <f t="shared" ref="J16" si="21">+I16/$B16</f>
        <v>0</v>
      </c>
      <c r="K16" s="77">
        <f t="shared" si="5"/>
        <v>7808367.0902282605</v>
      </c>
      <c r="L16" s="78">
        <f t="shared" si="12"/>
        <v>0.46742579621494257</v>
      </c>
      <c r="M16" s="7">
        <f t="shared" si="6"/>
        <v>4.1857534504739169E-2</v>
      </c>
    </row>
    <row r="17" spans="1:13" x14ac:dyDescent="0.25">
      <c r="A17" s="254">
        <v>2009</v>
      </c>
      <c r="B17" s="107">
        <v>16174341</v>
      </c>
      <c r="C17" s="77">
        <f t="shared" si="7"/>
        <v>628465</v>
      </c>
      <c r="D17" s="78">
        <f t="shared" si="8"/>
        <v>4.0426477092702973E-2</v>
      </c>
      <c r="E17" s="77">
        <f t="shared" si="15"/>
        <v>5926965.031581955</v>
      </c>
      <c r="F17" s="82">
        <f t="shared" si="9"/>
        <v>0.36644244310058477</v>
      </c>
      <c r="G17" s="77">
        <f t="shared" si="1"/>
        <v>2752716.8316099863</v>
      </c>
      <c r="H17" s="82">
        <f t="shared" si="10"/>
        <v>0.17019035468647448</v>
      </c>
      <c r="I17" s="79">
        <v>0</v>
      </c>
      <c r="J17" s="82">
        <f t="shared" ref="J17" si="22">+I17/$B17</f>
        <v>0</v>
      </c>
      <c r="K17" s="77">
        <f t="shared" si="5"/>
        <v>7494659.1368080582</v>
      </c>
      <c r="L17" s="78">
        <f t="shared" si="12"/>
        <v>0.46336720221294075</v>
      </c>
      <c r="M17" s="7">
        <f t="shared" si="6"/>
        <v>5.8882693122129792E-2</v>
      </c>
    </row>
    <row r="18" spans="1:13" x14ac:dyDescent="0.25">
      <c r="A18" s="256">
        <v>2008</v>
      </c>
      <c r="B18" s="107">
        <v>15545876</v>
      </c>
      <c r="C18" s="77">
        <f t="shared" si="7"/>
        <v>179038</v>
      </c>
      <c r="D18" s="78">
        <f t="shared" si="8"/>
        <v>1.165093300261244E-2</v>
      </c>
      <c r="E18" s="77">
        <f t="shared" si="15"/>
        <v>5782404.9088604441</v>
      </c>
      <c r="F18" s="82">
        <f t="shared" si="9"/>
        <v>0.37195748305598503</v>
      </c>
      <c r="G18" s="77">
        <f t="shared" si="1"/>
        <v>2685577.39669267</v>
      </c>
      <c r="H18" s="82">
        <f t="shared" si="10"/>
        <v>0.17275175723083536</v>
      </c>
      <c r="I18" s="79">
        <v>0</v>
      </c>
      <c r="J18" s="82">
        <f t="shared" ref="J18" si="23">+I18/$B18</f>
        <v>0</v>
      </c>
      <c r="K18" s="77">
        <f t="shared" si="5"/>
        <v>7077893.694446885</v>
      </c>
      <c r="L18" s="78">
        <f t="shared" si="12"/>
        <v>0.45529075971317956</v>
      </c>
      <c r="M18" s="7">
        <f t="shared" si="6"/>
        <v>7.7090402826163418E-2</v>
      </c>
    </row>
    <row r="19" spans="1:13" x14ac:dyDescent="0.25">
      <c r="A19" s="256">
        <v>2007</v>
      </c>
      <c r="B19" s="107">
        <v>15366838</v>
      </c>
      <c r="C19" s="77">
        <f t="shared" si="7"/>
        <v>1042954</v>
      </c>
      <c r="D19" s="78">
        <f t="shared" si="8"/>
        <v>7.281223444702567E-2</v>
      </c>
      <c r="E19" s="77">
        <f t="shared" si="15"/>
        <v>5641370.642790678</v>
      </c>
      <c r="F19" s="82">
        <f t="shared" si="9"/>
        <v>0.36711330221550315</v>
      </c>
      <c r="G19" s="77">
        <f t="shared" si="1"/>
        <v>2620075.5089684585</v>
      </c>
      <c r="H19" s="82">
        <f t="shared" si="10"/>
        <v>0.17050192817601503</v>
      </c>
      <c r="I19" s="79">
        <v>534083</v>
      </c>
      <c r="J19" s="82">
        <f t="shared" si="10"/>
        <v>3.4755556087726049E-2</v>
      </c>
      <c r="K19" s="77">
        <f t="shared" si="5"/>
        <v>6571308.8482408645</v>
      </c>
      <c r="L19" s="78">
        <f t="shared" si="12"/>
        <v>0.42762921352075584</v>
      </c>
      <c r="M19" s="7">
        <f t="shared" si="6"/>
        <v>0.15398085949930018</v>
      </c>
    </row>
    <row r="20" spans="1:13" x14ac:dyDescent="0.25">
      <c r="A20" s="254">
        <v>2006</v>
      </c>
      <c r="B20" s="107">
        <v>14323884</v>
      </c>
      <c r="C20" s="77">
        <f t="shared" si="7"/>
        <v>1098261</v>
      </c>
      <c r="D20" s="78">
        <f t="shared" si="8"/>
        <v>8.3040398172547381E-2</v>
      </c>
      <c r="E20" s="77">
        <f t="shared" si="15"/>
        <v>5503776.2368689543</v>
      </c>
      <c r="F20" s="82">
        <f t="shared" si="9"/>
        <v>0.38423769955613674</v>
      </c>
      <c r="G20" s="77">
        <f t="shared" si="1"/>
        <v>2556171.2282619108</v>
      </c>
      <c r="H20" s="82">
        <f t="shared" si="10"/>
        <v>0.17845517516491413</v>
      </c>
      <c r="I20" s="79">
        <v>569467</v>
      </c>
      <c r="J20" s="82">
        <f t="shared" ref="J20" si="24">+I20/$B20</f>
        <v>3.9756465494973289E-2</v>
      </c>
      <c r="K20" s="77">
        <f t="shared" si="5"/>
        <v>5694469.5348691354</v>
      </c>
      <c r="L20" s="78">
        <f t="shared" si="12"/>
        <v>0.39755065978397586</v>
      </c>
      <c r="M20" s="7">
        <f t="shared" si="6"/>
        <v>3.3825663223077562E-2</v>
      </c>
    </row>
    <row r="21" spans="1:13" x14ac:dyDescent="0.25">
      <c r="A21" s="256">
        <v>2005</v>
      </c>
      <c r="B21" s="107">
        <v>13225623</v>
      </c>
      <c r="C21" s="77">
        <f t="shared" si="7"/>
        <v>620864</v>
      </c>
      <c r="D21" s="78">
        <f t="shared" si="8"/>
        <v>4.9256316602324546E-2</v>
      </c>
      <c r="E21" s="77">
        <f t="shared" si="15"/>
        <v>5369537.7920672726</v>
      </c>
      <c r="F21" s="82">
        <f t="shared" si="9"/>
        <v>0.40599507426359216</v>
      </c>
      <c r="G21" s="77">
        <f t="shared" si="1"/>
        <v>2493825.5885482058</v>
      </c>
      <c r="H21" s="82">
        <f t="shared" si="10"/>
        <v>0.18856015996737588</v>
      </c>
      <c r="I21" s="77">
        <v>-145893</v>
      </c>
      <c r="J21" s="82">
        <f t="shared" ref="J21" si="25">+I21/$B21</f>
        <v>-1.1031087155591838E-2</v>
      </c>
      <c r="K21" s="77">
        <f t="shared" si="5"/>
        <v>5508152.6193845216</v>
      </c>
      <c r="L21" s="78">
        <f t="shared" si="12"/>
        <v>0.4164758529246238</v>
      </c>
      <c r="M21" s="7">
        <f t="shared" si="6"/>
        <v>0.11528993245815777</v>
      </c>
    </row>
    <row r="22" spans="1:13" x14ac:dyDescent="0.25">
      <c r="A22" s="256">
        <v>2004</v>
      </c>
      <c r="B22" s="107">
        <v>12604759</v>
      </c>
      <c r="C22" s="77">
        <f t="shared" si="7"/>
        <v>416825</v>
      </c>
      <c r="D22" s="78">
        <f t="shared" si="8"/>
        <v>3.4199807777101521E-2</v>
      </c>
      <c r="E22" s="77">
        <f t="shared" si="15"/>
        <v>5238573.4556753887</v>
      </c>
      <c r="F22" s="82">
        <f t="shared" si="9"/>
        <v>0.4156028255419551</v>
      </c>
      <c r="G22" s="77">
        <f t="shared" si="1"/>
        <v>2433000.5741933719</v>
      </c>
      <c r="H22" s="82">
        <f t="shared" si="10"/>
        <v>0.19302237941981848</v>
      </c>
      <c r="I22" s="77">
        <v>-5578</v>
      </c>
      <c r="J22" s="82">
        <f t="shared" ref="J22" si="26">+I22/$B22</f>
        <v>-4.4253126934041338E-4</v>
      </c>
      <c r="K22" s="77">
        <f t="shared" si="5"/>
        <v>4938762.9701312399</v>
      </c>
      <c r="L22" s="78">
        <f t="shared" si="12"/>
        <v>0.39181732630756683</v>
      </c>
      <c r="M22" s="7">
        <f t="shared" si="6"/>
        <v>6.5218584916679756E-2</v>
      </c>
    </row>
    <row r="23" spans="1:13" x14ac:dyDescent="0.25">
      <c r="A23" s="254">
        <v>2003</v>
      </c>
      <c r="B23" s="107">
        <v>12187934</v>
      </c>
      <c r="C23" s="77">
        <f t="shared" si="7"/>
        <v>411928</v>
      </c>
      <c r="D23" s="78">
        <f t="shared" si="8"/>
        <v>3.4980281090210008E-2</v>
      </c>
      <c r="E23" s="77">
        <f t="shared" si="15"/>
        <v>5110803.371390624</v>
      </c>
      <c r="F23" s="82">
        <f t="shared" si="9"/>
        <v>0.41933303637766861</v>
      </c>
      <c r="G23" s="77">
        <f t="shared" si="1"/>
        <v>2373659.0967740216</v>
      </c>
      <c r="H23" s="82">
        <f t="shared" si="10"/>
        <v>0.194754836773322</v>
      </c>
      <c r="I23" s="79">
        <v>67087</v>
      </c>
      <c r="J23" s="82">
        <f t="shared" ref="J23" si="27">+I23/$B23</f>
        <v>5.5043783466500558E-3</v>
      </c>
      <c r="K23" s="77">
        <f t="shared" si="5"/>
        <v>4636384.5318353549</v>
      </c>
      <c r="L23" s="78">
        <f t="shared" si="12"/>
        <v>0.38040774850235937</v>
      </c>
      <c r="M23" s="7">
        <f t="shared" si="6"/>
        <v>6.3665305761981372E-2</v>
      </c>
    </row>
    <row r="24" spans="1:13" x14ac:dyDescent="0.25">
      <c r="A24" s="256">
        <v>2002</v>
      </c>
      <c r="B24" s="107">
        <v>11776006</v>
      </c>
      <c r="C24" s="77">
        <f t="shared" si="7"/>
        <v>357366</v>
      </c>
      <c r="D24" s="78">
        <f t="shared" si="8"/>
        <v>3.1296721851288734E-2</v>
      </c>
      <c r="E24" s="77">
        <f t="shared" si="15"/>
        <v>4986149.6306249993</v>
      </c>
      <c r="F24" s="82">
        <f t="shared" si="9"/>
        <v>0.42341602327860561</v>
      </c>
      <c r="G24" s="77">
        <f t="shared" si="1"/>
        <v>2315764.9724624604</v>
      </c>
      <c r="H24" s="82">
        <f t="shared" si="10"/>
        <v>0.1966511372754447</v>
      </c>
      <c r="I24" s="79">
        <v>115216</v>
      </c>
      <c r="J24" s="82">
        <f t="shared" ref="J24" si="28">+I24/$B24</f>
        <v>9.7839624062691539E-3</v>
      </c>
      <c r="K24" s="77">
        <f t="shared" si="5"/>
        <v>4358875.3969125403</v>
      </c>
      <c r="L24" s="78">
        <f t="shared" si="12"/>
        <v>0.37014887703968052</v>
      </c>
      <c r="M24" s="7">
        <f t="shared" si="6"/>
        <v>5.3891319790646097E-2</v>
      </c>
    </row>
    <row r="25" spans="1:13" x14ac:dyDescent="0.25">
      <c r="A25" s="256">
        <v>2001</v>
      </c>
      <c r="B25" s="107">
        <v>11418640</v>
      </c>
      <c r="C25" s="77">
        <f t="shared" si="7"/>
        <v>398655</v>
      </c>
      <c r="D25" s="78">
        <f t="shared" si="8"/>
        <v>3.6175639077548727E-2</v>
      </c>
      <c r="E25" s="77">
        <f>+E26*1.025</f>
        <v>4864536.2249999996</v>
      </c>
      <c r="F25" s="82">
        <f t="shared" si="9"/>
        <v>0.42601712857222923</v>
      </c>
      <c r="G25" s="77">
        <f t="shared" si="1"/>
        <v>2259282.8999633761</v>
      </c>
      <c r="H25" s="82">
        <f t="shared" si="10"/>
        <v>0.1978591933858477</v>
      </c>
      <c r="I25" s="79">
        <v>158839</v>
      </c>
      <c r="J25" s="82">
        <f t="shared" ref="J25" si="29">+I25/$B25</f>
        <v>1.3910500725130137E-2</v>
      </c>
      <c r="K25" s="77">
        <f t="shared" si="5"/>
        <v>4135981.8750366252</v>
      </c>
      <c r="L25" s="78">
        <f t="shared" si="12"/>
        <v>0.36221317731679298</v>
      </c>
      <c r="M25" s="7">
        <f t="shared" si="6"/>
        <v>7.0642612233280611E-2</v>
      </c>
    </row>
    <row r="26" spans="1:13" x14ac:dyDescent="0.25">
      <c r="A26" s="254">
        <v>2000</v>
      </c>
      <c r="B26" s="107">
        <v>11019985</v>
      </c>
      <c r="C26" s="77">
        <f t="shared" si="7"/>
        <v>469356</v>
      </c>
      <c r="D26" s="78">
        <f t="shared" si="8"/>
        <v>4.4486068081817765E-2</v>
      </c>
      <c r="E26" s="79">
        <v>4745889</v>
      </c>
      <c r="F26" s="82">
        <f t="shared" si="9"/>
        <v>0.43066201995737746</v>
      </c>
      <c r="G26" s="77">
        <f t="shared" si="1"/>
        <v>2204178.43898866</v>
      </c>
      <c r="H26" s="82">
        <f t="shared" si="10"/>
        <v>0.20001646454043812</v>
      </c>
      <c r="I26" s="79">
        <v>206834</v>
      </c>
      <c r="J26" s="82">
        <f t="shared" ref="J26:J44" si="30">+I26/$B26</f>
        <v>1.8768991064869872E-2</v>
      </c>
      <c r="K26" s="77">
        <f t="shared" si="5"/>
        <v>3863083.5610113405</v>
      </c>
      <c r="L26" s="78">
        <f t="shared" si="12"/>
        <v>0.35055252443731461</v>
      </c>
      <c r="M26" s="7">
        <f t="shared" si="6"/>
        <v>2.467010606746145E-2</v>
      </c>
    </row>
    <row r="27" spans="1:13" x14ac:dyDescent="0.25">
      <c r="A27" s="256">
        <v>1999</v>
      </c>
      <c r="B27" s="107">
        <v>10550629</v>
      </c>
      <c r="C27" s="77">
        <f t="shared" si="7"/>
        <v>320332</v>
      </c>
      <c r="D27" s="78">
        <f t="shared" si="8"/>
        <v>3.1312091916783968E-2</v>
      </c>
      <c r="E27" s="77">
        <f>+E26/1.025</f>
        <v>4630135.6097560981</v>
      </c>
      <c r="F27" s="82">
        <f t="shared" si="9"/>
        <v>0.43884924868044345</v>
      </c>
      <c r="G27" s="77">
        <f t="shared" si="1"/>
        <v>2150417.9892572295</v>
      </c>
      <c r="H27" s="82">
        <f t="shared" si="10"/>
        <v>0.20381893717021321</v>
      </c>
      <c r="I27" s="81"/>
      <c r="J27" s="82">
        <f t="shared" si="30"/>
        <v>0</v>
      </c>
      <c r="K27" s="77">
        <f t="shared" si="5"/>
        <v>3770075.4009866724</v>
      </c>
      <c r="L27" s="78">
        <f t="shared" si="12"/>
        <v>0.35733181414934334</v>
      </c>
      <c r="M27" s="7">
        <f t="shared" si="6"/>
        <v>4.2862346409645369E-2</v>
      </c>
    </row>
    <row r="28" spans="1:13" x14ac:dyDescent="0.25">
      <c r="A28" s="256">
        <v>1998</v>
      </c>
      <c r="B28" s="107">
        <v>10230297</v>
      </c>
      <c r="C28" s="77">
        <f t="shared" si="7"/>
        <v>493873</v>
      </c>
      <c r="D28" s="78">
        <f t="shared" si="8"/>
        <v>5.0724270019465001E-2</v>
      </c>
      <c r="E28" s="77">
        <f t="shared" ref="E28:E44" si="31">+E27/1.025</f>
        <v>4517205.4729327792</v>
      </c>
      <c r="F28" s="82">
        <f t="shared" si="9"/>
        <v>0.4415517431148655</v>
      </c>
      <c r="G28" s="77">
        <f t="shared" si="1"/>
        <v>2097968.7700070534</v>
      </c>
      <c r="H28" s="82">
        <f t="shared" si="10"/>
        <v>0.20507408240513969</v>
      </c>
      <c r="I28" s="81"/>
      <c r="J28" s="82">
        <f t="shared" si="30"/>
        <v>0</v>
      </c>
      <c r="K28" s="77">
        <f t="shared" si="5"/>
        <v>3615122.7570601674</v>
      </c>
      <c r="L28" s="78">
        <f t="shared" si="12"/>
        <v>0.35337417447999481</v>
      </c>
      <c r="M28" s="7">
        <f t="shared" si="6"/>
        <v>0.1013001113801304</v>
      </c>
    </row>
    <row r="29" spans="1:13" x14ac:dyDescent="0.25">
      <c r="A29" s="254">
        <v>1997</v>
      </c>
      <c r="B29" s="107">
        <v>9736424</v>
      </c>
      <c r="C29" s="77">
        <f t="shared" si="7"/>
        <v>264317</v>
      </c>
      <c r="D29" s="78">
        <f t="shared" si="8"/>
        <v>2.7904773457478882E-2</v>
      </c>
      <c r="E29" s="77">
        <f t="shared" si="31"/>
        <v>4407029.7296905164</v>
      </c>
      <c r="F29" s="82">
        <f t="shared" si="9"/>
        <v>0.45263330044896527</v>
      </c>
      <c r="G29" s="77">
        <f t="shared" si="1"/>
        <v>2046798.8000068816</v>
      </c>
      <c r="H29" s="82">
        <f t="shared" si="10"/>
        <v>0.21022079564395321</v>
      </c>
      <c r="I29" s="81"/>
      <c r="J29" s="82">
        <f t="shared" si="30"/>
        <v>0</v>
      </c>
      <c r="K29" s="77">
        <f t="shared" si="5"/>
        <v>3282595.4703026023</v>
      </c>
      <c r="L29" s="78">
        <f t="shared" si="12"/>
        <v>0.33714590390708155</v>
      </c>
      <c r="M29" s="7">
        <f t="shared" si="6"/>
        <v>3.3664049179142452E-2</v>
      </c>
    </row>
    <row r="30" spans="1:13" x14ac:dyDescent="0.25">
      <c r="A30" s="256">
        <v>1996</v>
      </c>
      <c r="B30" s="107">
        <v>9472107</v>
      </c>
      <c r="C30" s="77">
        <f t="shared" si="7"/>
        <v>529395</v>
      </c>
      <c r="D30" s="78">
        <f t="shared" si="8"/>
        <v>5.9198484754960257E-2</v>
      </c>
      <c r="E30" s="77">
        <f t="shared" si="31"/>
        <v>4299541.1996980654</v>
      </c>
      <c r="F30" s="82">
        <f t="shared" si="9"/>
        <v>0.45391602942176068</v>
      </c>
      <c r="G30" s="77">
        <f t="shared" si="1"/>
        <v>1996876.8780554945</v>
      </c>
      <c r="H30" s="82">
        <f t="shared" si="10"/>
        <v>0.21081654568043778</v>
      </c>
      <c r="I30" s="81"/>
      <c r="J30" s="82">
        <f t="shared" si="30"/>
        <v>0</v>
      </c>
      <c r="K30" s="77">
        <f t="shared" si="5"/>
        <v>3175688.9222464403</v>
      </c>
      <c r="L30" s="78">
        <f t="shared" si="12"/>
        <v>0.33526742489780154</v>
      </c>
      <c r="M30" s="7">
        <f t="shared" si="6"/>
        <v>0.13422926270978119</v>
      </c>
    </row>
    <row r="31" spans="1:13" x14ac:dyDescent="0.25">
      <c r="A31" s="256">
        <v>1995</v>
      </c>
      <c r="B31" s="107">
        <v>8942712</v>
      </c>
      <c r="C31" s="77">
        <f t="shared" si="7"/>
        <v>98735</v>
      </c>
      <c r="D31" s="78">
        <f t="shared" si="8"/>
        <v>1.1164095067185187E-2</v>
      </c>
      <c r="E31" s="77">
        <f t="shared" si="31"/>
        <v>4194674.3411688451</v>
      </c>
      <c r="F31" s="82">
        <f t="shared" si="9"/>
        <v>0.46906065421416288</v>
      </c>
      <c r="G31" s="77">
        <f t="shared" si="1"/>
        <v>1948172.5639565801</v>
      </c>
      <c r="H31" s="82">
        <f t="shared" si="10"/>
        <v>0.21785030804487276</v>
      </c>
      <c r="I31" s="81"/>
      <c r="J31" s="82">
        <f t="shared" si="30"/>
        <v>0</v>
      </c>
      <c r="K31" s="77">
        <f t="shared" si="5"/>
        <v>2799865.0948745748</v>
      </c>
      <c r="L31" s="78">
        <f t="shared" si="12"/>
        <v>0.31308903774096436</v>
      </c>
      <c r="M31" s="7">
        <f t="shared" si="6"/>
        <v>-1.7920494359519701E-2</v>
      </c>
    </row>
    <row r="32" spans="1:13" x14ac:dyDescent="0.25">
      <c r="A32" s="254">
        <v>1994</v>
      </c>
      <c r="B32" s="107">
        <v>8843977</v>
      </c>
      <c r="C32" s="77">
        <f t="shared" si="7"/>
        <v>238426</v>
      </c>
      <c r="D32" s="78">
        <f t="shared" si="8"/>
        <v>2.7706070186557463E-2</v>
      </c>
      <c r="E32" s="77">
        <f t="shared" si="31"/>
        <v>4092365.2108964347</v>
      </c>
      <c r="F32" s="82">
        <f t="shared" si="9"/>
        <v>0.46272906531715707</v>
      </c>
      <c r="G32" s="77">
        <f>+G33*1.025</f>
        <v>1900656.1599576394</v>
      </c>
      <c r="H32" s="82">
        <f t="shared" si="10"/>
        <v>0.21490966789687935</v>
      </c>
      <c r="I32" s="81"/>
      <c r="J32" s="82">
        <f t="shared" si="30"/>
        <v>0</v>
      </c>
      <c r="K32" s="77">
        <f t="shared" si="5"/>
        <v>2850955.6291459254</v>
      </c>
      <c r="L32" s="78">
        <f t="shared" si="12"/>
        <v>0.32236126678596355</v>
      </c>
      <c r="M32" s="7">
        <f t="shared" si="6"/>
        <v>3.3441373673802177E-2</v>
      </c>
    </row>
    <row r="33" spans="1:13" x14ac:dyDescent="0.25">
      <c r="A33" s="256">
        <v>1993</v>
      </c>
      <c r="B33" s="107">
        <v>8605551</v>
      </c>
      <c r="C33" s="77">
        <f t="shared" si="7"/>
        <v>23674</v>
      </c>
      <c r="D33" s="78">
        <f t="shared" si="8"/>
        <v>2.7586039743985324E-3</v>
      </c>
      <c r="E33" s="77">
        <f t="shared" si="31"/>
        <v>3992551.4252648149</v>
      </c>
      <c r="F33" s="82">
        <f t="shared" si="9"/>
        <v>0.46395070173482383</v>
      </c>
      <c r="G33" s="77">
        <f t="shared" si="1"/>
        <v>1854298.6926415996</v>
      </c>
      <c r="H33" s="82">
        <f t="shared" si="10"/>
        <v>0.21547704413600008</v>
      </c>
      <c r="I33" s="81"/>
      <c r="J33" s="82">
        <f t="shared" si="30"/>
        <v>0</v>
      </c>
      <c r="K33" s="77">
        <f t="shared" si="5"/>
        <v>2758700.882093586</v>
      </c>
      <c r="L33" s="78">
        <f t="shared" si="12"/>
        <v>0.32057225412917617</v>
      </c>
      <c r="M33" s="7">
        <f t="shared" si="6"/>
        <v>-4.1329836417207888E-2</v>
      </c>
    </row>
    <row r="34" spans="1:13" x14ac:dyDescent="0.25">
      <c r="A34" s="256">
        <v>1992</v>
      </c>
      <c r="B34" s="107">
        <v>8581877</v>
      </c>
      <c r="C34" s="77">
        <f t="shared" si="7"/>
        <v>147487</v>
      </c>
      <c r="D34" s="78">
        <f t="shared" si="8"/>
        <v>1.7486386093125805E-2</v>
      </c>
      <c r="E34" s="77">
        <f t="shared" si="31"/>
        <v>3895172.122209576</v>
      </c>
      <c r="F34" s="82">
        <f t="shared" si="9"/>
        <v>0.4538834712044435</v>
      </c>
      <c r="G34" s="77">
        <f t="shared" si="1"/>
        <v>1809071.8952600972</v>
      </c>
      <c r="H34" s="82">
        <f t="shared" si="10"/>
        <v>0.21080142435741006</v>
      </c>
      <c r="I34" s="81"/>
      <c r="J34" s="82">
        <f t="shared" si="30"/>
        <v>0</v>
      </c>
      <c r="K34" s="77">
        <f t="shared" si="5"/>
        <v>2877632.9825303266</v>
      </c>
      <c r="L34" s="78">
        <f t="shared" si="12"/>
        <v>0.33531510443814638</v>
      </c>
      <c r="M34" s="7">
        <f t="shared" si="6"/>
        <v>2.9133144721504856E-3</v>
      </c>
    </row>
    <row r="35" spans="1:13" x14ac:dyDescent="0.25">
      <c r="A35" s="254">
        <v>1991</v>
      </c>
      <c r="B35" s="107">
        <v>8434390</v>
      </c>
      <c r="C35" s="77">
        <f t="shared" si="7"/>
        <v>352500</v>
      </c>
      <c r="D35" s="78">
        <f t="shared" si="8"/>
        <v>4.3616035358065908E-2</v>
      </c>
      <c r="E35" s="77">
        <f t="shared" si="31"/>
        <v>3800167.9241069038</v>
      </c>
      <c r="F35" s="82">
        <f t="shared" si="9"/>
        <v>0.45055634421776841</v>
      </c>
      <c r="G35" s="77">
        <f t="shared" si="1"/>
        <v>1764948.1904976559</v>
      </c>
      <c r="H35" s="82">
        <f t="shared" si="10"/>
        <v>0.20925617507580938</v>
      </c>
      <c r="I35" s="81"/>
      <c r="J35" s="82">
        <f t="shared" si="30"/>
        <v>0</v>
      </c>
      <c r="K35" s="77">
        <f t="shared" si="5"/>
        <v>2869273.8853954407</v>
      </c>
      <c r="L35" s="78">
        <f t="shared" si="12"/>
        <v>0.34018748070642224</v>
      </c>
      <c r="M35" s="7">
        <f t="shared" si="6"/>
        <v>8.1720932003337188E-2</v>
      </c>
    </row>
    <row r="36" spans="1:13" x14ac:dyDescent="0.25">
      <c r="A36" s="256">
        <v>1990</v>
      </c>
      <c r="B36" s="107">
        <v>8081890</v>
      </c>
      <c r="C36" s="77">
        <f t="shared" si="7"/>
        <v>496811</v>
      </c>
      <c r="D36" s="78">
        <f t="shared" si="8"/>
        <v>6.5498460859801266E-2</v>
      </c>
      <c r="E36" s="77">
        <f t="shared" si="31"/>
        <v>3707480.9015677115</v>
      </c>
      <c r="F36" s="82">
        <f t="shared" si="9"/>
        <v>0.45873934210533818</v>
      </c>
      <c r="G36" s="77">
        <f t="shared" si="1"/>
        <v>1721900.6736562499</v>
      </c>
      <c r="H36" s="82">
        <f t="shared" si="10"/>
        <v>0.21305668273835079</v>
      </c>
      <c r="I36" s="81"/>
      <c r="J36" s="82">
        <f t="shared" si="30"/>
        <v>0</v>
      </c>
      <c r="K36" s="77">
        <f t="shared" si="5"/>
        <v>2652508.4247760391</v>
      </c>
      <c r="L36" s="78">
        <f t="shared" si="12"/>
        <v>0.32820397515631111</v>
      </c>
      <c r="M36" s="7">
        <f t="shared" si="6"/>
        <v>0.15925163088529137</v>
      </c>
    </row>
    <row r="37" spans="1:13" x14ac:dyDescent="0.25">
      <c r="A37" s="256">
        <v>1989</v>
      </c>
      <c r="B37" s="107">
        <v>7585079</v>
      </c>
      <c r="C37" s="77">
        <f t="shared" si="7"/>
        <v>916805</v>
      </c>
      <c r="D37" s="78">
        <f t="shared" si="8"/>
        <v>0.13748760173922059</v>
      </c>
      <c r="E37" s="77">
        <f t="shared" si="31"/>
        <v>3617054.5381148406</v>
      </c>
      <c r="F37" s="82">
        <f t="shared" si="9"/>
        <v>0.47686445165763475</v>
      </c>
      <c r="G37" s="77">
        <f>+G38*1.025</f>
        <v>1679903.0962499999</v>
      </c>
      <c r="H37" s="82">
        <f t="shared" si="10"/>
        <v>0.22147470003278805</v>
      </c>
      <c r="I37" s="81"/>
      <c r="J37" s="82">
        <f t="shared" si="30"/>
        <v>0</v>
      </c>
      <c r="K37" s="77">
        <f t="shared" si="5"/>
        <v>2288121.3656351599</v>
      </c>
      <c r="L37" s="78">
        <f t="shared" si="12"/>
        <v>0.30166084830957723</v>
      </c>
      <c r="M37" s="7">
        <f t="shared" si="6"/>
        <v>0.52489531753100849</v>
      </c>
    </row>
    <row r="38" spans="1:13" x14ac:dyDescent="0.25">
      <c r="A38" s="254">
        <v>1988</v>
      </c>
      <c r="B38" s="107">
        <v>6668274</v>
      </c>
      <c r="C38" s="77">
        <f t="shared" si="7"/>
        <v>2396663</v>
      </c>
      <c r="D38" s="78">
        <f t="shared" si="8"/>
        <v>0.56106770958310581</v>
      </c>
      <c r="E38" s="77">
        <f t="shared" si="31"/>
        <v>3528833.6957217962</v>
      </c>
      <c r="F38" s="82">
        <f t="shared" si="9"/>
        <v>0.52919746484949426</v>
      </c>
      <c r="G38" s="79">
        <v>1638929.85</v>
      </c>
      <c r="H38" s="82">
        <f t="shared" si="10"/>
        <v>0.24578021988898477</v>
      </c>
      <c r="I38" s="81"/>
      <c r="J38" s="82">
        <f t="shared" si="30"/>
        <v>0</v>
      </c>
      <c r="K38" s="77">
        <f t="shared" si="5"/>
        <v>1500510.4542782041</v>
      </c>
      <c r="L38" s="78">
        <f t="shared" si="12"/>
        <v>0.22502231526152106</v>
      </c>
      <c r="M38" s="7">
        <f t="shared" si="6"/>
        <v>0.8103600621646494</v>
      </c>
    </row>
    <row r="39" spans="1:13" x14ac:dyDescent="0.25">
      <c r="A39" s="183" t="s">
        <v>157</v>
      </c>
      <c r="B39" s="107">
        <v>4271611</v>
      </c>
      <c r="C39" s="77">
        <f t="shared" si="7"/>
        <v>366258</v>
      </c>
      <c r="D39" s="78">
        <f t="shared" si="8"/>
        <v>9.3783583711894991E-2</v>
      </c>
      <c r="E39" s="77">
        <f t="shared" si="31"/>
        <v>3442764.5811919966</v>
      </c>
      <c r="F39" s="82">
        <f t="shared" si="9"/>
        <v>0.80596397499491335</v>
      </c>
      <c r="G39" s="80"/>
      <c r="H39" s="94"/>
      <c r="I39" s="232"/>
      <c r="J39" s="82">
        <f t="shared" si="30"/>
        <v>0</v>
      </c>
      <c r="K39" s="77">
        <f t="shared" si="5"/>
        <v>828846.41880800342</v>
      </c>
      <c r="L39" s="78">
        <f t="shared" si="12"/>
        <v>0.19403602500508671</v>
      </c>
      <c r="M39" s="7">
        <f t="shared" si="6"/>
        <v>0.51648312552431119</v>
      </c>
    </row>
    <row r="40" spans="1:13" x14ac:dyDescent="0.25">
      <c r="A40" s="76" t="s">
        <v>158</v>
      </c>
      <c r="B40" s="107">
        <v>3905353</v>
      </c>
      <c r="C40" s="77">
        <f t="shared" si="7"/>
        <v>297439</v>
      </c>
      <c r="D40" s="78">
        <f t="shared" si="8"/>
        <v>8.24407122786186E-2</v>
      </c>
      <c r="E40" s="77">
        <f t="shared" si="31"/>
        <v>3358794.7133580456</v>
      </c>
      <c r="F40" s="82">
        <f t="shared" si="9"/>
        <v>0.86004894137816623</v>
      </c>
      <c r="G40" s="80"/>
      <c r="H40" s="94"/>
      <c r="I40" s="81"/>
      <c r="J40" s="82">
        <f t="shared" si="30"/>
        <v>0</v>
      </c>
      <c r="K40" s="77">
        <f t="shared" si="5"/>
        <v>546558.28664195444</v>
      </c>
      <c r="L40" s="78">
        <f t="shared" si="12"/>
        <v>0.1399510586218338</v>
      </c>
      <c r="M40" s="7">
        <f t="shared" si="6"/>
        <v>0.65102844304367391</v>
      </c>
    </row>
    <row r="41" spans="1:13" x14ac:dyDescent="0.25">
      <c r="A41" s="76" t="s">
        <v>159</v>
      </c>
      <c r="B41" s="107">
        <v>3607914</v>
      </c>
      <c r="C41" s="77">
        <f t="shared" si="7"/>
        <v>580370</v>
      </c>
      <c r="D41" s="78">
        <f t="shared" si="8"/>
        <v>0.19169663595310249</v>
      </c>
      <c r="E41" s="77">
        <f t="shared" si="31"/>
        <v>3276872.8910810202</v>
      </c>
      <c r="F41" s="82">
        <f t="shared" si="9"/>
        <v>0.9082458426340041</v>
      </c>
      <c r="G41" s="80"/>
      <c r="H41" s="94"/>
      <c r="I41" s="232"/>
      <c r="J41" s="82">
        <f t="shared" si="30"/>
        <v>0</v>
      </c>
      <c r="K41" s="77">
        <f t="shared" si="5"/>
        <v>331041.10891897976</v>
      </c>
      <c r="L41" s="78">
        <f t="shared" si="12"/>
        <v>9.1754157365995903E-2</v>
      </c>
      <c r="M41" s="7">
        <f t="shared" si="6"/>
        <v>-2.954138262090503</v>
      </c>
    </row>
    <row r="42" spans="1:13" x14ac:dyDescent="0.25">
      <c r="A42" s="76" t="s">
        <v>160</v>
      </c>
      <c r="B42" s="107">
        <v>3027544</v>
      </c>
      <c r="C42" s="77">
        <f t="shared" si="7"/>
        <v>123302</v>
      </c>
      <c r="D42" s="78">
        <f t="shared" si="8"/>
        <v>4.245582840548412E-2</v>
      </c>
      <c r="E42" s="77">
        <f t="shared" si="31"/>
        <v>3196949.1620302638</v>
      </c>
      <c r="F42" s="82">
        <f t="shared" si="9"/>
        <v>1.0559546490588623</v>
      </c>
      <c r="G42" s="80"/>
      <c r="H42" s="94"/>
      <c r="I42" s="232"/>
      <c r="J42" s="82">
        <f t="shared" si="30"/>
        <v>0</v>
      </c>
      <c r="K42" s="77">
        <f t="shared" si="5"/>
        <v>-169405.1620302638</v>
      </c>
      <c r="L42" s="78">
        <f t="shared" si="12"/>
        <v>-5.5954649058862167E-2</v>
      </c>
      <c r="M42" s="7">
        <f t="shared" si="6"/>
        <v>-0.21108853345027778</v>
      </c>
    </row>
    <row r="43" spans="1:13" x14ac:dyDescent="0.25">
      <c r="A43" s="76" t="s">
        <v>161</v>
      </c>
      <c r="B43" s="107">
        <v>2904242</v>
      </c>
      <c r="C43" s="77">
        <f t="shared" si="7"/>
        <v>-138660</v>
      </c>
      <c r="D43" s="78">
        <f t="shared" si="8"/>
        <v>-4.5568342325845501E-2</v>
      </c>
      <c r="E43" s="77">
        <f t="shared" si="31"/>
        <v>3118974.7922246479</v>
      </c>
      <c r="F43" s="82">
        <f t="shared" si="9"/>
        <v>1.0739376375056375</v>
      </c>
      <c r="G43" s="80"/>
      <c r="H43" s="94"/>
      <c r="I43" s="81"/>
      <c r="J43" s="82">
        <f t="shared" si="30"/>
        <v>0</v>
      </c>
      <c r="K43" s="77">
        <f>+B43-G43-E43-I43</f>
        <v>-214732.79222464794</v>
      </c>
      <c r="L43" s="78">
        <f t="shared" si="12"/>
        <v>-7.3937637505637602E-2</v>
      </c>
      <c r="M43" s="7"/>
    </row>
    <row r="44" spans="1:13" x14ac:dyDescent="0.25">
      <c r="A44" s="76" t="s">
        <v>162</v>
      </c>
      <c r="B44" s="107">
        <v>3042902</v>
      </c>
      <c r="C44" s="81"/>
      <c r="D44" s="80"/>
      <c r="E44" s="77">
        <f t="shared" si="31"/>
        <v>3042902.2363167298</v>
      </c>
      <c r="F44" s="82">
        <f t="shared" si="9"/>
        <v>1.0000000776616302</v>
      </c>
      <c r="G44" s="80"/>
      <c r="H44" s="94"/>
      <c r="I44" s="81"/>
      <c r="J44" s="82">
        <f t="shared" si="30"/>
        <v>0</v>
      </c>
      <c r="K44" s="80"/>
      <c r="L44" s="80"/>
    </row>
    <row r="46" spans="1:13" x14ac:dyDescent="0.25">
      <c r="A46" s="282" t="s">
        <v>163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</row>
    <row r="47" spans="1:13" x14ac:dyDescent="0.2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</row>
    <row r="48" spans="1:13" x14ac:dyDescent="0.2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</row>
    <row r="49" spans="1:12" x14ac:dyDescent="0.2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</row>
  </sheetData>
  <mergeCells count="6">
    <mergeCell ref="A46:L49"/>
    <mergeCell ref="G4:H4"/>
    <mergeCell ref="I4:J4"/>
    <mergeCell ref="K4:L4"/>
    <mergeCell ref="A1:L1"/>
    <mergeCell ref="A2:L2"/>
  </mergeCells>
  <pageMargins left="0.75" right="0.45" top="0.75" bottom="0.75" header="0.3" footer="0.3"/>
  <pageSetup orientation="landscape" r:id="rId1"/>
  <headerFooter>
    <oddFooter>&amp;LS. Pratt&amp;CDLS Municpal Data Bank Gateway&amp;RJune 2019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6"/>
  <sheetViews>
    <sheetView workbookViewId="0">
      <pane xSplit="1" ySplit="6" topLeftCell="B7" activePane="bottomRight" state="frozen"/>
      <selection activeCell="AO16" sqref="AO16"/>
      <selection pane="topRight" activeCell="AO16" sqref="AO16"/>
      <selection pane="bottomLeft" activeCell="AO16" sqref="AO16"/>
      <selection pane="bottomRight" activeCell="A2" sqref="A2:L2"/>
    </sheetView>
  </sheetViews>
  <sheetFormatPr defaultRowHeight="15" x14ac:dyDescent="0.25"/>
  <cols>
    <col min="1" max="1" width="7.42578125" customWidth="1"/>
    <col min="2" max="2" width="11.5703125" bestFit="1" customWidth="1"/>
    <col min="3" max="3" width="9.42578125" customWidth="1"/>
    <col min="4" max="4" width="7.5703125" customWidth="1"/>
    <col min="5" max="5" width="13.5703125" customWidth="1"/>
    <col min="6" max="6" width="11.28515625" bestFit="1" customWidth="1"/>
    <col min="7" max="7" width="7.5703125" bestFit="1" customWidth="1"/>
    <col min="8" max="8" width="8.42578125" bestFit="1" customWidth="1"/>
    <col min="9" max="9" width="11.5703125" customWidth="1"/>
    <col min="10" max="10" width="7.5703125" bestFit="1" customWidth="1"/>
    <col min="11" max="11" width="10.85546875" bestFit="1" customWidth="1"/>
    <col min="12" max="12" width="7.5703125" bestFit="1" customWidth="1"/>
    <col min="14" max="14" width="11.5703125" bestFit="1" customWidth="1"/>
    <col min="15" max="15" width="10.5703125" bestFit="1" customWidth="1"/>
  </cols>
  <sheetData>
    <row r="1" spans="1:13" ht="18.75" x14ac:dyDescent="0.3">
      <c r="A1" s="279" t="s">
        <v>20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3" x14ac:dyDescent="0.25">
      <c r="A2" s="280" t="s">
        <v>134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3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3" x14ac:dyDescent="0.25">
      <c r="A4" s="141"/>
      <c r="B4" s="141" t="s">
        <v>137</v>
      </c>
      <c r="C4" s="141" t="s">
        <v>0</v>
      </c>
      <c r="D4" s="141"/>
      <c r="E4" s="141" t="s">
        <v>1</v>
      </c>
      <c r="F4" s="141" t="s">
        <v>138</v>
      </c>
      <c r="G4" s="141"/>
      <c r="H4" s="141"/>
      <c r="I4" s="141" t="s">
        <v>2</v>
      </c>
      <c r="J4" s="141"/>
      <c r="K4" s="141" t="s">
        <v>139</v>
      </c>
      <c r="L4" s="141"/>
    </row>
    <row r="5" spans="1:13" ht="15" customHeight="1" thickBot="1" x14ac:dyDescent="0.3">
      <c r="A5" s="5"/>
      <c r="B5" s="285" t="s">
        <v>164</v>
      </c>
      <c r="C5" s="286"/>
      <c r="D5" s="286"/>
      <c r="E5" s="286"/>
      <c r="F5" s="286"/>
      <c r="G5" s="287"/>
      <c r="H5" s="5"/>
      <c r="I5" s="132" t="s">
        <v>118</v>
      </c>
      <c r="J5" s="37"/>
      <c r="L5" s="5"/>
      <c r="M5" s="2"/>
    </row>
    <row r="6" spans="1:13" ht="60" x14ac:dyDescent="0.25">
      <c r="A6" s="33" t="s">
        <v>6</v>
      </c>
      <c r="B6" s="34" t="s">
        <v>16</v>
      </c>
      <c r="C6" s="34" t="s">
        <v>19</v>
      </c>
      <c r="D6" s="34" t="s">
        <v>136</v>
      </c>
      <c r="E6" s="34" t="s">
        <v>135</v>
      </c>
      <c r="F6" s="34" t="s">
        <v>17</v>
      </c>
      <c r="G6" s="34" t="s">
        <v>136</v>
      </c>
      <c r="H6" s="145" t="s">
        <v>13</v>
      </c>
      <c r="I6" s="110" t="s">
        <v>18</v>
      </c>
      <c r="J6" s="36" t="s">
        <v>136</v>
      </c>
      <c r="K6" s="35" t="s">
        <v>14</v>
      </c>
      <c r="L6" s="36" t="s">
        <v>136</v>
      </c>
      <c r="M6" s="2"/>
    </row>
    <row r="7" spans="1:13" x14ac:dyDescent="0.25">
      <c r="A7" s="6" t="s">
        <v>152</v>
      </c>
      <c r="B7" s="227">
        <v>12409598</v>
      </c>
      <c r="C7" s="228">
        <v>916728</v>
      </c>
      <c r="D7" s="7">
        <f t="shared" ref="D7:D9" si="0">+C7/C8-1</f>
        <v>0.23231036012420847</v>
      </c>
      <c r="E7" s="228">
        <f>1277263-C7</f>
        <v>360535</v>
      </c>
      <c r="F7" s="205">
        <f>+B7-E7-C7</f>
        <v>11132335</v>
      </c>
      <c r="G7" s="7">
        <f t="shared" ref="G7" si="1">+F7/F8-1</f>
        <v>3.6052794612211336E-3</v>
      </c>
      <c r="H7" s="146">
        <f t="shared" ref="H7:H45" si="2">+F7/I7</f>
        <v>0.41949923126780519</v>
      </c>
      <c r="I7" s="234">
        <f>24824537+620613+1092050</f>
        <v>26537200</v>
      </c>
      <c r="J7" s="8">
        <f t="shared" ref="J7" si="3">+I7/I8-1</f>
        <v>2.445612394462926E-2</v>
      </c>
      <c r="K7" s="56">
        <f>+I7+F7</f>
        <v>37669535</v>
      </c>
      <c r="L7" s="7">
        <f t="shared" ref="L7:L44" si="4">+K7/K8-1</f>
        <v>1.8204515942787491E-2</v>
      </c>
    </row>
    <row r="8" spans="1:13" x14ac:dyDescent="0.25">
      <c r="A8" s="6">
        <v>2019</v>
      </c>
      <c r="B8" s="77">
        <f>+C8+E8+F8</f>
        <v>12210764</v>
      </c>
      <c r="C8" s="190">
        <v>743910</v>
      </c>
      <c r="D8" s="7">
        <f t="shared" si="0"/>
        <v>0.23202050966110366</v>
      </c>
      <c r="E8" s="190">
        <f>1118420-C8</f>
        <v>374510</v>
      </c>
      <c r="F8" s="190">
        <v>11092344</v>
      </c>
      <c r="G8" s="7">
        <f t="shared" ref="G8" si="5">+F8/F9-1</f>
        <v>-1.1434193209783117E-2</v>
      </c>
      <c r="H8" s="146">
        <f t="shared" si="2"/>
        <v>0.42821472271756122</v>
      </c>
      <c r="I8" s="210">
        <v>25903696</v>
      </c>
      <c r="J8" s="8">
        <f t="shared" ref="J8" si="6">+I8/I9-1</f>
        <v>3.6609504408883442E-2</v>
      </c>
      <c r="K8" s="56">
        <f>+I8+F8</f>
        <v>36996040</v>
      </c>
      <c r="L8" s="7">
        <f t="shared" si="4"/>
        <v>2.172166985197177E-2</v>
      </c>
    </row>
    <row r="9" spans="1:13" x14ac:dyDescent="0.25">
      <c r="A9" s="262">
        <v>2018</v>
      </c>
      <c r="B9" s="191">
        <f t="shared" ref="B9:B12" si="7">+C9+E9+F9</f>
        <v>12076972</v>
      </c>
      <c r="C9" s="190">
        <v>603813</v>
      </c>
      <c r="D9" s="7">
        <f t="shared" si="0"/>
        <v>0.13871549321273791</v>
      </c>
      <c r="E9" s="190">
        <f>856329-C9</f>
        <v>252516</v>
      </c>
      <c r="F9" s="190">
        <v>11220643</v>
      </c>
      <c r="G9" s="7">
        <f t="shared" ref="G9:J14" si="8">+F9/F10-1</f>
        <v>4.4217986068877391E-3</v>
      </c>
      <c r="H9" s="146">
        <f t="shared" si="2"/>
        <v>0.44902569808489912</v>
      </c>
      <c r="I9" s="210">
        <v>24988866</v>
      </c>
      <c r="J9" s="8">
        <f t="shared" si="8"/>
        <v>4.139067118039752E-2</v>
      </c>
      <c r="K9" s="56">
        <f t="shared" ref="K9:K10" si="9">+I9+F9</f>
        <v>36209509</v>
      </c>
      <c r="L9" s="7">
        <f t="shared" si="4"/>
        <v>2.9647009044632577E-2</v>
      </c>
    </row>
    <row r="10" spans="1:13" x14ac:dyDescent="0.25">
      <c r="A10" s="6">
        <v>2017</v>
      </c>
      <c r="B10" s="191">
        <f t="shared" si="7"/>
        <v>11956027</v>
      </c>
      <c r="C10" s="190">
        <v>530258</v>
      </c>
      <c r="D10" s="7">
        <f t="shared" ref="D10" si="10">+C10/C11-1</f>
        <v>0.11537692966237345</v>
      </c>
      <c r="E10" s="190">
        <f>784781-C10</f>
        <v>254523</v>
      </c>
      <c r="F10" s="190">
        <v>11171246</v>
      </c>
      <c r="G10" s="7">
        <f t="shared" si="8"/>
        <v>6.0793919743451497E-3</v>
      </c>
      <c r="H10" s="146">
        <f t="shared" si="2"/>
        <v>0.46555259329740417</v>
      </c>
      <c r="I10" s="210">
        <v>23995669.14852</v>
      </c>
      <c r="J10" s="8">
        <f t="shared" si="8"/>
        <v>9.5914733481437198E-2</v>
      </c>
      <c r="K10" s="56">
        <f t="shared" si="9"/>
        <v>35166915.14852</v>
      </c>
      <c r="L10" s="7">
        <f t="shared" si="4"/>
        <v>6.5686567144804808E-2</v>
      </c>
    </row>
    <row r="11" spans="1:13" x14ac:dyDescent="0.25">
      <c r="A11" s="6">
        <v>2016</v>
      </c>
      <c r="B11" s="191">
        <f t="shared" si="7"/>
        <v>11805170</v>
      </c>
      <c r="C11" s="190">
        <v>475407</v>
      </c>
      <c r="D11" s="7">
        <f t="shared" ref="D11" si="11">+C11/C12-1</f>
        <v>0.78803082558869875</v>
      </c>
      <c r="E11" s="190">
        <f>701428-C11</f>
        <v>226021</v>
      </c>
      <c r="F11" s="190">
        <v>11103742</v>
      </c>
      <c r="G11" s="7">
        <f t="shared" si="8"/>
        <v>-1.4227179092125564E-3</v>
      </c>
      <c r="H11" s="146">
        <f t="shared" si="2"/>
        <v>0.50712294703093053</v>
      </c>
      <c r="I11" s="210">
        <v>21895562.141310003</v>
      </c>
      <c r="J11" s="8">
        <f t="shared" si="8"/>
        <v>4.5164007359362657E-2</v>
      </c>
      <c r="K11" s="56">
        <f t="shared" ref="K11:K12" si="12">+I11+F11</f>
        <v>32999304.141310003</v>
      </c>
      <c r="L11" s="7">
        <f t="shared" si="4"/>
        <v>2.9010571235624338E-2</v>
      </c>
    </row>
    <row r="12" spans="1:13" x14ac:dyDescent="0.25">
      <c r="A12" s="262">
        <v>2015</v>
      </c>
      <c r="B12" s="191">
        <f t="shared" si="7"/>
        <v>11607992</v>
      </c>
      <c r="C12" s="190">
        <v>265883</v>
      </c>
      <c r="D12" s="7">
        <f t="shared" ref="D12" si="13">+C12/C13-1</f>
        <v>0.3300800400200099</v>
      </c>
      <c r="E12" s="190">
        <f>488430-C12</f>
        <v>222547</v>
      </c>
      <c r="F12" s="190">
        <v>11119562</v>
      </c>
      <c r="G12" s="7">
        <f t="shared" si="8"/>
        <v>8.7083443513962244E-3</v>
      </c>
      <c r="H12" s="146">
        <f t="shared" si="2"/>
        <v>0.53078180432162969</v>
      </c>
      <c r="I12" s="210">
        <v>20949403.143560003</v>
      </c>
      <c r="J12" s="8">
        <f t="shared" si="8"/>
        <v>4.5911295747113057E-2</v>
      </c>
      <c r="K12" s="56">
        <f t="shared" si="12"/>
        <v>32068965.143560003</v>
      </c>
      <c r="L12" s="7">
        <f t="shared" si="4"/>
        <v>3.270470643379797E-2</v>
      </c>
    </row>
    <row r="13" spans="1:13" x14ac:dyDescent="0.25">
      <c r="A13" s="6">
        <v>2014</v>
      </c>
      <c r="B13" s="191">
        <f>+C13+E13+F13</f>
        <v>11437097</v>
      </c>
      <c r="C13" s="190">
        <v>199900</v>
      </c>
      <c r="D13" s="7">
        <f t="shared" ref="D13" si="14">+C13/C14-1</f>
        <v>0.22147946276901265</v>
      </c>
      <c r="E13" s="190">
        <f>413532-C13</f>
        <v>213632</v>
      </c>
      <c r="F13" s="190">
        <v>11023565</v>
      </c>
      <c r="G13" s="7">
        <f t="shared" si="8"/>
        <v>9.6905355912555446E-3</v>
      </c>
      <c r="H13" s="146">
        <f t="shared" si="2"/>
        <v>0.55035797792868524</v>
      </c>
      <c r="I13" s="210">
        <v>20029808.673779998</v>
      </c>
      <c r="J13" s="8">
        <f t="shared" ref="J13" si="15">+I13/I14-1</f>
        <v>4.7067958640968799E-2</v>
      </c>
      <c r="K13" s="56">
        <f t="shared" ref="K13:K46" si="16">+I13+F13</f>
        <v>31053373.673779998</v>
      </c>
      <c r="L13" s="7">
        <f t="shared" si="4"/>
        <v>3.3486724055604933E-2</v>
      </c>
    </row>
    <row r="14" spans="1:13" x14ac:dyDescent="0.25">
      <c r="A14" s="6">
        <v>2013</v>
      </c>
      <c r="B14" s="191">
        <f>+C14+E14+F14</f>
        <v>11310287</v>
      </c>
      <c r="C14" s="190">
        <v>163654</v>
      </c>
      <c r="D14" s="7">
        <f t="shared" ref="D14:D22" si="17">+C14/C15-1</f>
        <v>-3.1959634916034263E-2</v>
      </c>
      <c r="E14" s="190">
        <f>392521-C14</f>
        <v>228867</v>
      </c>
      <c r="F14" s="190">
        <v>10917766</v>
      </c>
      <c r="G14" s="7">
        <f t="shared" si="8"/>
        <v>2.3908945740384713E-2</v>
      </c>
      <c r="H14" s="146">
        <f t="shared" si="2"/>
        <v>0.57073151045643078</v>
      </c>
      <c r="I14" s="210">
        <v>19129425.65808</v>
      </c>
      <c r="J14" s="8">
        <f t="shared" ref="J14" si="18">+I14/I15-1</f>
        <v>3.3968678259373997E-2</v>
      </c>
      <c r="K14" s="56">
        <f t="shared" si="16"/>
        <v>30047191.65808</v>
      </c>
      <c r="L14" s="7">
        <f t="shared" si="4"/>
        <v>3.0290652637615212E-2</v>
      </c>
    </row>
    <row r="15" spans="1:13" x14ac:dyDescent="0.25">
      <c r="A15" s="262">
        <v>2012</v>
      </c>
      <c r="B15" s="191">
        <f t="shared" ref="B15:B46" si="19">+C15+E15+F15</f>
        <v>11053723</v>
      </c>
      <c r="C15" s="190">
        <v>169057</v>
      </c>
      <c r="D15" s="7">
        <f t="shared" si="17"/>
        <v>0.85065134099616868</v>
      </c>
      <c r="E15" s="190">
        <f>390894-C15</f>
        <v>221837</v>
      </c>
      <c r="F15" s="190">
        <v>10662829</v>
      </c>
      <c r="G15" s="7">
        <f t="shared" ref="G15" si="20">+F15/F16-1</f>
        <v>-1.123728348966968E-2</v>
      </c>
      <c r="H15" s="146">
        <f t="shared" si="2"/>
        <v>0.57633885118651773</v>
      </c>
      <c r="I15" s="210">
        <v>18500972.089680001</v>
      </c>
      <c r="J15" s="8">
        <f t="shared" ref="J15" si="21">+I15/I16-1</f>
        <v>3.317814661081453E-2</v>
      </c>
      <c r="K15" s="56">
        <f t="shared" si="16"/>
        <v>29163801.089680001</v>
      </c>
      <c r="L15" s="7">
        <f t="shared" si="4"/>
        <v>1.6483756797111226E-2</v>
      </c>
    </row>
    <row r="16" spans="1:13" x14ac:dyDescent="0.25">
      <c r="A16" s="6">
        <v>2011</v>
      </c>
      <c r="B16" s="191">
        <f t="shared" si="19"/>
        <v>11064123</v>
      </c>
      <c r="C16" s="190">
        <v>91350</v>
      </c>
      <c r="D16" s="7">
        <f t="shared" si="17"/>
        <v>-0.22126081582200252</v>
      </c>
      <c r="E16" s="190">
        <f>280111-C16</f>
        <v>188761</v>
      </c>
      <c r="F16" s="190">
        <v>10784012</v>
      </c>
      <c r="G16" s="7">
        <f t="shared" ref="G16" si="22">+F16/F17-1</f>
        <v>-5.1996992836537137E-2</v>
      </c>
      <c r="H16" s="146">
        <f t="shared" si="2"/>
        <v>0.60222811413265021</v>
      </c>
      <c r="I16" s="210">
        <v>17906855.802525107</v>
      </c>
      <c r="J16" s="8">
        <f t="shared" ref="J16" si="23">+I16/I17-1</f>
        <v>7.1943241715186845E-2</v>
      </c>
      <c r="K16" s="56">
        <f t="shared" si="16"/>
        <v>28690867.802525107</v>
      </c>
      <c r="L16" s="7">
        <f t="shared" si="4"/>
        <v>2.173472069452731E-2</v>
      </c>
    </row>
    <row r="17" spans="1:14" x14ac:dyDescent="0.25">
      <c r="A17" s="6">
        <v>2010</v>
      </c>
      <c r="B17" s="191">
        <f t="shared" si="19"/>
        <v>11702865</v>
      </c>
      <c r="C17" s="190">
        <v>117305</v>
      </c>
      <c r="D17" s="7">
        <f t="shared" si="17"/>
        <v>-0.16571245688275671</v>
      </c>
      <c r="E17" s="190">
        <f>327361-C17</f>
        <v>210056</v>
      </c>
      <c r="F17" s="190">
        <v>11375504</v>
      </c>
      <c r="G17" s="7">
        <f t="shared" ref="G17" si="24">+F17/F18-1</f>
        <v>-6.753279946384072E-2</v>
      </c>
      <c r="H17" s="146">
        <f t="shared" si="2"/>
        <v>0.68096235142433947</v>
      </c>
      <c r="I17" s="210">
        <v>16705041</v>
      </c>
      <c r="J17" s="8">
        <f t="shared" ref="J17" si="25">+I17/I18-1</f>
        <v>3.2811228599669118E-2</v>
      </c>
      <c r="K17" s="56">
        <f t="shared" si="16"/>
        <v>28080545</v>
      </c>
      <c r="L17" s="7">
        <f t="shared" si="4"/>
        <v>-1.0331996861037029E-2</v>
      </c>
    </row>
    <row r="18" spans="1:14" x14ac:dyDescent="0.25">
      <c r="A18" s="262">
        <v>2009</v>
      </c>
      <c r="B18" s="191">
        <f t="shared" si="19"/>
        <v>12510737</v>
      </c>
      <c r="C18" s="190">
        <v>140605</v>
      </c>
      <c r="D18" s="7">
        <f t="shared" si="17"/>
        <v>-0.17753691008212635</v>
      </c>
      <c r="E18" s="190">
        <f>311376-C18</f>
        <v>170771</v>
      </c>
      <c r="F18" s="190">
        <v>12199361</v>
      </c>
      <c r="G18" s="7">
        <f t="shared" ref="G18" si="26">+F18/F19-1</f>
        <v>2.4956390862219902E-2</v>
      </c>
      <c r="H18" s="146">
        <f t="shared" si="2"/>
        <v>0.75424161021459857</v>
      </c>
      <c r="I18" s="210">
        <v>16174341</v>
      </c>
      <c r="J18" s="8">
        <f t="shared" ref="J18" si="27">+I18/I19-1</f>
        <v>4.0426477092702973E-2</v>
      </c>
      <c r="K18" s="56">
        <f t="shared" si="16"/>
        <v>28373702</v>
      </c>
      <c r="L18" s="7">
        <f t="shared" si="4"/>
        <v>3.3718206200640255E-2</v>
      </c>
    </row>
    <row r="19" spans="1:14" x14ac:dyDescent="0.25">
      <c r="A19" s="218">
        <v>2008</v>
      </c>
      <c r="B19" s="219">
        <f t="shared" si="19"/>
        <v>12206473</v>
      </c>
      <c r="C19" s="220">
        <v>170956</v>
      </c>
      <c r="D19" s="221">
        <f t="shared" si="17"/>
        <v>0.36833764217165443</v>
      </c>
      <c r="E19" s="220">
        <f>304151-C19</f>
        <v>133195</v>
      </c>
      <c r="F19" s="220">
        <v>11902322</v>
      </c>
      <c r="G19" s="221">
        <f t="shared" ref="G19" si="28">+F19/F20-1</f>
        <v>3.2057785348193368E-2</v>
      </c>
      <c r="H19" s="222">
        <f t="shared" si="2"/>
        <v>0.76562568748136162</v>
      </c>
      <c r="I19" s="223">
        <v>15545876</v>
      </c>
      <c r="J19" s="224">
        <f t="shared" ref="J19" si="29">+I19/I20-1</f>
        <v>1.165093300261244E-2</v>
      </c>
      <c r="K19" s="225">
        <f t="shared" si="16"/>
        <v>27448198</v>
      </c>
      <c r="L19" s="224">
        <f t="shared" si="4"/>
        <v>2.0399971003124628E-2</v>
      </c>
    </row>
    <row r="20" spans="1:14" x14ac:dyDescent="0.25">
      <c r="A20" s="6">
        <v>2007</v>
      </c>
      <c r="B20" s="191">
        <f t="shared" si="19"/>
        <v>11851857</v>
      </c>
      <c r="C20" s="190">
        <v>124937</v>
      </c>
      <c r="D20" s="7">
        <f t="shared" si="17"/>
        <v>7.1271168274383623E-2</v>
      </c>
      <c r="E20" s="190">
        <f>319245-C20</f>
        <v>194308</v>
      </c>
      <c r="F20" s="190">
        <v>11532612</v>
      </c>
      <c r="G20" s="7">
        <f t="shared" ref="G20" si="30">+F20/F21-1</f>
        <v>7.4040609097345333E-2</v>
      </c>
      <c r="H20" s="146">
        <f t="shared" si="2"/>
        <v>0.75048699023182253</v>
      </c>
      <c r="I20" s="210">
        <v>15366838</v>
      </c>
      <c r="J20" s="8">
        <f t="shared" ref="J20" si="31">+I20/I21-1</f>
        <v>7.281223444702567E-2</v>
      </c>
      <c r="K20" s="56">
        <f t="shared" si="16"/>
        <v>26899450</v>
      </c>
      <c r="L20" s="7">
        <f t="shared" si="4"/>
        <v>7.3338531749803426E-2</v>
      </c>
    </row>
    <row r="21" spans="1:14" x14ac:dyDescent="0.25">
      <c r="A21" s="262">
        <v>2006</v>
      </c>
      <c r="B21" s="191">
        <f t="shared" si="19"/>
        <v>11022804</v>
      </c>
      <c r="C21" s="190">
        <v>116625</v>
      </c>
      <c r="D21" s="7">
        <f t="shared" si="17"/>
        <v>0.61709650582362729</v>
      </c>
      <c r="E21" s="190">
        <f>285210-C21</f>
        <v>168585</v>
      </c>
      <c r="F21" s="190">
        <v>10737594</v>
      </c>
      <c r="G21" s="7">
        <f t="shared" ref="G21" si="32">+F21/F22-1</f>
        <v>-6.8419367684607546E-2</v>
      </c>
      <c r="H21" s="146">
        <f t="shared" si="2"/>
        <v>0.74962866217012092</v>
      </c>
      <c r="I21" s="210">
        <v>14323884</v>
      </c>
      <c r="J21" s="8">
        <f t="shared" ref="J21" si="33">+I21/I22-1</f>
        <v>8.3040398172547381E-2</v>
      </c>
      <c r="K21" s="56">
        <f t="shared" si="16"/>
        <v>25061478</v>
      </c>
      <c r="L21" s="7">
        <f t="shared" si="4"/>
        <v>1.2509982594016478E-2</v>
      </c>
    </row>
    <row r="22" spans="1:14" x14ac:dyDescent="0.25">
      <c r="A22" s="6">
        <v>2005</v>
      </c>
      <c r="B22" s="191">
        <f t="shared" si="19"/>
        <v>11754626</v>
      </c>
      <c r="C22" s="190">
        <v>72120</v>
      </c>
      <c r="D22" s="7">
        <f t="shared" si="17"/>
        <v>-0.3156716134664288</v>
      </c>
      <c r="E22" s="190">
        <f>228416-C22</f>
        <v>156296</v>
      </c>
      <c r="F22" s="190">
        <v>11526210</v>
      </c>
      <c r="G22" s="7">
        <f t="shared" ref="G22" si="34">+F22/F23-1</f>
        <v>4.0356729530411029E-2</v>
      </c>
      <c r="H22" s="146">
        <f t="shared" si="2"/>
        <v>0.87150601525538718</v>
      </c>
      <c r="I22" s="210">
        <v>13225623</v>
      </c>
      <c r="J22" s="8">
        <f t="shared" ref="J22" si="35">+I22/I23-1</f>
        <v>4.9256316602324546E-2</v>
      </c>
      <c r="K22" s="56">
        <f t="shared" si="16"/>
        <v>24751833</v>
      </c>
      <c r="L22" s="7">
        <f t="shared" si="4"/>
        <v>4.5093169595335603E-2</v>
      </c>
    </row>
    <row r="23" spans="1:14" x14ac:dyDescent="0.25">
      <c r="A23" s="6">
        <v>2004</v>
      </c>
      <c r="B23" s="191">
        <f t="shared" si="19"/>
        <v>11321999</v>
      </c>
      <c r="C23" s="190">
        <v>105388</v>
      </c>
      <c r="D23" s="133"/>
      <c r="E23" s="190">
        <f>242905-C23</f>
        <v>137517</v>
      </c>
      <c r="F23" s="190">
        <v>11079094</v>
      </c>
      <c r="G23" s="7">
        <f t="shared" ref="G23" si="36">+F23/F24-1</f>
        <v>-5.7166267007498828E-2</v>
      </c>
      <c r="H23" s="146">
        <f t="shared" si="2"/>
        <v>0.87896119235599823</v>
      </c>
      <c r="I23" s="210">
        <v>12604759</v>
      </c>
      <c r="J23" s="8">
        <f t="shared" ref="J23" si="37">+I23/I24-1</f>
        <v>3.4199807777101521E-2</v>
      </c>
      <c r="K23" s="56">
        <f t="shared" si="16"/>
        <v>23683853</v>
      </c>
      <c r="L23" s="7">
        <f t="shared" si="4"/>
        <v>-1.0649122469900352E-2</v>
      </c>
    </row>
    <row r="24" spans="1:14" ht="15.75" thickBot="1" x14ac:dyDescent="0.3">
      <c r="A24" s="262">
        <v>2003</v>
      </c>
      <c r="B24" s="192">
        <v>11849597</v>
      </c>
      <c r="C24" s="190">
        <v>0</v>
      </c>
      <c r="D24" s="133"/>
      <c r="E24" s="190">
        <v>98751</v>
      </c>
      <c r="F24" s="205">
        <f>+B24-E24-C24</f>
        <v>11750846</v>
      </c>
      <c r="G24" s="7">
        <f t="shared" ref="G24" si="38">+F24/F25-1</f>
        <v>-9.1297226632058859E-4</v>
      </c>
      <c r="H24" s="146">
        <f t="shared" si="2"/>
        <v>0.96413764629838006</v>
      </c>
      <c r="I24" s="210">
        <v>12187934</v>
      </c>
      <c r="J24" s="8">
        <f t="shared" ref="J24" si="39">+I24/I25-1</f>
        <v>3.4980281090210008E-2</v>
      </c>
      <c r="K24" s="56">
        <f t="shared" si="16"/>
        <v>23938780</v>
      </c>
      <c r="L24" s="7">
        <f t="shared" si="4"/>
        <v>1.7044650705531073E-2</v>
      </c>
    </row>
    <row r="25" spans="1:14" x14ac:dyDescent="0.25">
      <c r="A25" s="14">
        <v>2002</v>
      </c>
      <c r="B25" s="193">
        <v>11872791</v>
      </c>
      <c r="C25" s="194">
        <v>0</v>
      </c>
      <c r="D25" s="15"/>
      <c r="E25" s="194">
        <v>111207</v>
      </c>
      <c r="F25" s="206">
        <f>+B25-E25-C25</f>
        <v>11761584</v>
      </c>
      <c r="G25" s="15">
        <f t="shared" ref="G25" si="40">+F25/F26-1</f>
        <v>1.7460594283056796E-2</v>
      </c>
      <c r="H25" s="147">
        <f t="shared" si="2"/>
        <v>0.99877530633051648</v>
      </c>
      <c r="I25" s="193">
        <v>11776006</v>
      </c>
      <c r="J25" s="16">
        <f t="shared" ref="J25:J44" si="41">+I25/I26-1</f>
        <v>3.1296721851288734E-2</v>
      </c>
      <c r="K25" s="213">
        <f t="shared" si="16"/>
        <v>23537590</v>
      </c>
      <c r="L25" s="17">
        <f t="shared" si="4"/>
        <v>2.4336176121001474E-2</v>
      </c>
      <c r="M25" s="74"/>
      <c r="N25" s="74"/>
    </row>
    <row r="26" spans="1:14" x14ac:dyDescent="0.25">
      <c r="A26" s="18">
        <v>2001</v>
      </c>
      <c r="B26" s="195">
        <v>11639195</v>
      </c>
      <c r="C26" s="196">
        <v>0</v>
      </c>
      <c r="D26" s="19"/>
      <c r="E26" s="196">
        <v>79451</v>
      </c>
      <c r="F26" s="207">
        <f>+B26-E26-C26</f>
        <v>11559744</v>
      </c>
      <c r="G26" s="19">
        <f t="shared" ref="G26" si="42">+F26/F27-1</f>
        <v>4.295612792699588E-2</v>
      </c>
      <c r="H26" s="148">
        <f t="shared" si="2"/>
        <v>1.01235733852718</v>
      </c>
      <c r="I26" s="195">
        <v>11418640</v>
      </c>
      <c r="J26" s="20">
        <f t="shared" si="41"/>
        <v>3.6175639077548727E-2</v>
      </c>
      <c r="K26" s="214">
        <f t="shared" si="16"/>
        <v>22978384</v>
      </c>
      <c r="L26" s="21">
        <f t="shared" si="4"/>
        <v>3.9575645960962413E-2</v>
      </c>
    </row>
    <row r="27" spans="1:14" x14ac:dyDescent="0.25">
      <c r="A27" s="18">
        <v>2000</v>
      </c>
      <c r="B27" s="195">
        <v>11182319</v>
      </c>
      <c r="C27" s="196">
        <v>0</v>
      </c>
      <c r="D27" s="19"/>
      <c r="E27" s="196">
        <v>98685</v>
      </c>
      <c r="F27" s="207">
        <f>+B27-E27-C27</f>
        <v>11083634</v>
      </c>
      <c r="G27" s="19">
        <f t="shared" ref="G27" si="43">+F27/F28-1</f>
        <v>5.3972616156914288E-2</v>
      </c>
      <c r="H27" s="148">
        <f t="shared" si="2"/>
        <v>1.0057757791866322</v>
      </c>
      <c r="I27" s="195">
        <v>11019985</v>
      </c>
      <c r="J27" s="20">
        <f t="shared" si="41"/>
        <v>4.4486068081817765E-2</v>
      </c>
      <c r="K27" s="214">
        <f t="shared" si="16"/>
        <v>22103619</v>
      </c>
      <c r="L27" s="21">
        <f t="shared" si="4"/>
        <v>4.9221557602515897E-2</v>
      </c>
    </row>
    <row r="28" spans="1:14" ht="15.75" thickBot="1" x14ac:dyDescent="0.3">
      <c r="A28" s="22">
        <v>1999</v>
      </c>
      <c r="B28" s="197">
        <v>10605973</v>
      </c>
      <c r="C28" s="198">
        <v>0</v>
      </c>
      <c r="D28" s="23"/>
      <c r="E28" s="198">
        <v>89918</v>
      </c>
      <c r="F28" s="208">
        <f>+B28-E28-C28</f>
        <v>10516055</v>
      </c>
      <c r="G28" s="23">
        <f t="shared" ref="G28" si="44">+F28/F29-1</f>
        <v>0.12484987461562125</v>
      </c>
      <c r="H28" s="149">
        <f t="shared" si="2"/>
        <v>0.99672303897710746</v>
      </c>
      <c r="I28" s="197">
        <v>10550629</v>
      </c>
      <c r="J28" s="24">
        <f t="shared" si="41"/>
        <v>3.1312091916783968E-2</v>
      </c>
      <c r="K28" s="215">
        <f t="shared" si="16"/>
        <v>21066684</v>
      </c>
      <c r="L28" s="25">
        <f t="shared" si="4"/>
        <v>7.5975467575225109E-2</v>
      </c>
    </row>
    <row r="29" spans="1:14" x14ac:dyDescent="0.25">
      <c r="A29" s="6">
        <v>1998</v>
      </c>
      <c r="B29" s="192">
        <v>9432776</v>
      </c>
      <c r="C29" s="190">
        <v>0</v>
      </c>
      <c r="D29" s="133"/>
      <c r="E29" s="190">
        <v>83924</v>
      </c>
      <c r="F29" s="205">
        <f>+B29-C29-E29</f>
        <v>9348852</v>
      </c>
      <c r="G29" s="7">
        <f t="shared" ref="G29" si="45">+F29/F30-1</f>
        <v>0.10878386816684382</v>
      </c>
      <c r="H29" s="146">
        <f t="shared" si="2"/>
        <v>0.91383974482852259</v>
      </c>
      <c r="I29" s="210">
        <v>10230297</v>
      </c>
      <c r="J29" s="8">
        <f t="shared" si="41"/>
        <v>5.0724270019465001E-2</v>
      </c>
      <c r="K29" s="56">
        <f t="shared" si="16"/>
        <v>19579149</v>
      </c>
      <c r="L29" s="7">
        <f t="shared" si="4"/>
        <v>7.7669200730447141E-2</v>
      </c>
    </row>
    <row r="30" spans="1:14" x14ac:dyDescent="0.25">
      <c r="A30" s="262">
        <v>1997</v>
      </c>
      <c r="B30" s="192">
        <v>8508525</v>
      </c>
      <c r="C30" s="190">
        <v>0</v>
      </c>
      <c r="D30" s="133"/>
      <c r="E30" s="190">
        <v>76898</v>
      </c>
      <c r="F30" s="205">
        <f>+B30-C30-E30</f>
        <v>8431627</v>
      </c>
      <c r="G30" s="7">
        <f t="shared" ref="G30" si="46">+F30/F31-1</f>
        <v>0.14162303136799492</v>
      </c>
      <c r="H30" s="146">
        <f t="shared" si="2"/>
        <v>0.865988067076783</v>
      </c>
      <c r="I30" s="210">
        <v>9736424</v>
      </c>
      <c r="J30" s="8">
        <f t="shared" si="41"/>
        <v>2.7904773457478882E-2</v>
      </c>
      <c r="K30" s="56">
        <f t="shared" si="16"/>
        <v>18168051</v>
      </c>
      <c r="L30" s="7">
        <f t="shared" si="4"/>
        <v>7.77265372686613E-2</v>
      </c>
    </row>
    <row r="31" spans="1:14" x14ac:dyDescent="0.25">
      <c r="A31" s="6">
        <v>1996</v>
      </c>
      <c r="B31" s="191">
        <f t="shared" si="19"/>
        <v>7447237</v>
      </c>
      <c r="C31" s="190">
        <v>0</v>
      </c>
      <c r="D31" s="133"/>
      <c r="E31" s="190">
        <v>61588</v>
      </c>
      <c r="F31" s="190">
        <v>7385649</v>
      </c>
      <c r="G31" s="7">
        <f t="shared" ref="G31" si="47">+F31/F32-1</f>
        <v>0.13557880908623066</v>
      </c>
      <c r="H31" s="146">
        <f t="shared" si="2"/>
        <v>0.7797260947326714</v>
      </c>
      <c r="I31" s="210">
        <v>9472107</v>
      </c>
      <c r="J31" s="8">
        <f t="shared" si="41"/>
        <v>5.9198484754960257E-2</v>
      </c>
      <c r="K31" s="56">
        <f t="shared" si="16"/>
        <v>16857756</v>
      </c>
      <c r="L31" s="7">
        <f t="shared" si="4"/>
        <v>9.1358828737114761E-2</v>
      </c>
    </row>
    <row r="32" spans="1:14" x14ac:dyDescent="0.25">
      <c r="A32" s="6">
        <v>1995</v>
      </c>
      <c r="B32" s="191">
        <f t="shared" si="19"/>
        <v>6561986</v>
      </c>
      <c r="C32" s="190">
        <v>0</v>
      </c>
      <c r="D32" s="133"/>
      <c r="E32" s="190">
        <v>58123</v>
      </c>
      <c r="F32" s="190">
        <v>6503863</v>
      </c>
      <c r="G32" s="7">
        <f t="shared" ref="G32" si="48">+F32/F33-1</f>
        <v>0.22098512897396416</v>
      </c>
      <c r="H32" s="146">
        <f t="shared" si="2"/>
        <v>0.72728082935020155</v>
      </c>
      <c r="I32" s="210">
        <v>8942712</v>
      </c>
      <c r="J32" s="8">
        <f t="shared" si="41"/>
        <v>1.1164095067185187E-2</v>
      </c>
      <c r="K32" s="56">
        <f t="shared" si="16"/>
        <v>15446575</v>
      </c>
      <c r="L32" s="7">
        <f t="shared" si="4"/>
        <v>9.0035284750355826E-2</v>
      </c>
    </row>
    <row r="33" spans="1:15" x14ac:dyDescent="0.25">
      <c r="A33" s="246">
        <v>1994</v>
      </c>
      <c r="B33" s="247">
        <f t="shared" si="19"/>
        <v>5386615</v>
      </c>
      <c r="C33" s="248">
        <v>0</v>
      </c>
      <c r="D33" s="249"/>
      <c r="E33" s="248">
        <v>59881</v>
      </c>
      <c r="F33" s="248">
        <v>5326734</v>
      </c>
      <c r="G33" s="249">
        <f t="shared" ref="G33" si="49">+F33/F34-1</f>
        <v>1.1908490570693884</v>
      </c>
      <c r="H33" s="250">
        <f t="shared" si="2"/>
        <v>0.60230075225206936</v>
      </c>
      <c r="I33" s="251">
        <v>8843977</v>
      </c>
      <c r="J33" s="252">
        <f t="shared" si="41"/>
        <v>2.7706070186557463E-2</v>
      </c>
      <c r="K33" s="253">
        <f t="shared" si="16"/>
        <v>14170711</v>
      </c>
      <c r="L33" s="252">
        <f t="shared" si="4"/>
        <v>0.2839386070753338</v>
      </c>
    </row>
    <row r="34" spans="1:15" x14ac:dyDescent="0.25">
      <c r="A34" s="26">
        <v>1993</v>
      </c>
      <c r="B34" s="199">
        <f t="shared" si="19"/>
        <v>2488126</v>
      </c>
      <c r="C34" s="200">
        <v>0</v>
      </c>
      <c r="D34" s="134"/>
      <c r="E34" s="200">
        <v>56770</v>
      </c>
      <c r="F34" s="200">
        <v>2431356</v>
      </c>
      <c r="G34" s="27">
        <f t="shared" ref="G34" si="50">+F34/F35-1</f>
        <v>0.104695335469704</v>
      </c>
      <c r="H34" s="150">
        <f t="shared" si="2"/>
        <v>0.28253344846832001</v>
      </c>
      <c r="I34" s="211">
        <v>8605551</v>
      </c>
      <c r="J34" s="28">
        <f t="shared" si="41"/>
        <v>2.7586039743985324E-3</v>
      </c>
      <c r="K34" s="216">
        <f t="shared" si="16"/>
        <v>11036907</v>
      </c>
      <c r="L34" s="28">
        <f t="shared" si="4"/>
        <v>2.3565387339807398E-2</v>
      </c>
    </row>
    <row r="35" spans="1:15" x14ac:dyDescent="0.25">
      <c r="A35" s="6">
        <v>1992</v>
      </c>
      <c r="B35" s="201">
        <f t="shared" si="19"/>
        <v>2260034</v>
      </c>
      <c r="C35" s="202">
        <v>0</v>
      </c>
      <c r="D35" s="135"/>
      <c r="E35" s="202">
        <v>59105</v>
      </c>
      <c r="F35" s="202">
        <v>2200929</v>
      </c>
      <c r="G35" s="12">
        <f t="shared" ref="G35" si="51">+F35/F36-1</f>
        <v>-0.12099788529471089</v>
      </c>
      <c r="H35" s="146">
        <f t="shared" si="2"/>
        <v>0.25646242657637719</v>
      </c>
      <c r="I35" s="210">
        <v>8581877</v>
      </c>
      <c r="J35" s="8">
        <f t="shared" si="41"/>
        <v>1.7486386093125805E-2</v>
      </c>
      <c r="K35" s="62">
        <f t="shared" si="16"/>
        <v>10782806</v>
      </c>
      <c r="L35" s="8">
        <f t="shared" si="4"/>
        <v>-1.4214202683510258E-2</v>
      </c>
    </row>
    <row r="36" spans="1:15" x14ac:dyDescent="0.25">
      <c r="A36" s="262">
        <v>1991</v>
      </c>
      <c r="B36" s="201">
        <f t="shared" si="19"/>
        <v>2560379</v>
      </c>
      <c r="C36" s="202">
        <v>0</v>
      </c>
      <c r="D36" s="135"/>
      <c r="E36" s="202">
        <v>56484</v>
      </c>
      <c r="F36" s="202">
        <v>2503895</v>
      </c>
      <c r="G36" s="12">
        <f t="shared" ref="G36" si="52">+F36/F37-1</f>
        <v>-7.1152205364098386E-2</v>
      </c>
      <c r="H36" s="146">
        <f t="shared" si="2"/>
        <v>0.29686734903176165</v>
      </c>
      <c r="I36" s="210">
        <v>8434390</v>
      </c>
      <c r="J36" s="8">
        <f t="shared" si="41"/>
        <v>4.3616035358065908E-2</v>
      </c>
      <c r="K36" s="62">
        <f t="shared" si="16"/>
        <v>10938285</v>
      </c>
      <c r="L36" s="8">
        <f t="shared" si="4"/>
        <v>1.4910105134821494E-2</v>
      </c>
    </row>
    <row r="37" spans="1:15" x14ac:dyDescent="0.25">
      <c r="A37" s="6">
        <v>1990</v>
      </c>
      <c r="B37" s="201">
        <f t="shared" si="19"/>
        <v>2724518</v>
      </c>
      <c r="C37" s="202">
        <v>0</v>
      </c>
      <c r="D37" s="135"/>
      <c r="E37" s="202">
        <v>28818</v>
      </c>
      <c r="F37" s="202">
        <v>2695700</v>
      </c>
      <c r="G37" s="12">
        <f t="shared" ref="G37" si="53">+F37/F38-1</f>
        <v>-0.15859896130341777</v>
      </c>
      <c r="H37" s="146">
        <f t="shared" si="2"/>
        <v>0.33354821706308796</v>
      </c>
      <c r="I37" s="210">
        <v>8081890</v>
      </c>
      <c r="J37" s="8">
        <f t="shared" si="41"/>
        <v>6.5498460859801266E-2</v>
      </c>
      <c r="K37" s="62">
        <f t="shared" si="16"/>
        <v>10777590</v>
      </c>
      <c r="L37" s="8">
        <f t="shared" si="4"/>
        <v>-1.0484848226446353E-3</v>
      </c>
    </row>
    <row r="38" spans="1:15" x14ac:dyDescent="0.25">
      <c r="A38" s="6">
        <v>1989</v>
      </c>
      <c r="B38" s="201">
        <f t="shared" si="19"/>
        <v>3225755</v>
      </c>
      <c r="C38" s="202">
        <v>0</v>
      </c>
      <c r="D38" s="135"/>
      <c r="E38" s="202">
        <v>21932</v>
      </c>
      <c r="F38" s="202">
        <v>3203823</v>
      </c>
      <c r="G38" s="12">
        <f t="shared" ref="G38" si="54">+F38/F39-1</f>
        <v>0.19137588089152868</v>
      </c>
      <c r="H38" s="146">
        <f t="shared" si="2"/>
        <v>0.42238492176548192</v>
      </c>
      <c r="I38" s="210">
        <v>7585079</v>
      </c>
      <c r="J38" s="8">
        <f t="shared" ref="J38" si="55">+I38/I39-1</f>
        <v>0.13748760173922059</v>
      </c>
      <c r="K38" s="62">
        <f t="shared" si="16"/>
        <v>10788902</v>
      </c>
      <c r="L38" s="8">
        <f t="shared" si="4"/>
        <v>0.15297421210664908</v>
      </c>
    </row>
    <row r="39" spans="1:15" x14ac:dyDescent="0.25">
      <c r="A39" s="262">
        <v>1988</v>
      </c>
      <c r="B39" s="201">
        <f t="shared" si="19"/>
        <v>2784278</v>
      </c>
      <c r="C39" s="202">
        <v>0</v>
      </c>
      <c r="D39" s="135"/>
      <c r="E39" s="202">
        <v>95099</v>
      </c>
      <c r="F39" s="202">
        <v>2689179</v>
      </c>
      <c r="G39" s="12">
        <f t="shared" ref="G39" si="56">+F39/F40-1</f>
        <v>0.19313423352994263</v>
      </c>
      <c r="H39" s="146">
        <f t="shared" si="2"/>
        <v>0.40327961928379069</v>
      </c>
      <c r="I39" s="210">
        <v>6668274</v>
      </c>
      <c r="J39" s="8">
        <f t="shared" si="41"/>
        <v>0.56106770958310581</v>
      </c>
      <c r="K39" s="62">
        <f t="shared" si="16"/>
        <v>9357453</v>
      </c>
      <c r="L39" s="8">
        <f t="shared" si="4"/>
        <v>0.43398494733498127</v>
      </c>
    </row>
    <row r="40" spans="1:15" x14ac:dyDescent="0.25">
      <c r="A40" s="85" t="s">
        <v>157</v>
      </c>
      <c r="B40" s="201">
        <f t="shared" si="19"/>
        <v>2345445</v>
      </c>
      <c r="C40" s="202">
        <v>0</v>
      </c>
      <c r="D40" s="135"/>
      <c r="E40" s="202">
        <v>91567</v>
      </c>
      <c r="F40" s="202">
        <v>2253878</v>
      </c>
      <c r="G40" s="12">
        <f t="shared" ref="G40" si="57">+F40/F41-1</f>
        <v>0.24484306616914431</v>
      </c>
      <c r="H40" s="146">
        <f t="shared" si="2"/>
        <v>0.52764121077504478</v>
      </c>
      <c r="I40" s="210">
        <v>4271611</v>
      </c>
      <c r="J40" s="8">
        <f t="shared" si="41"/>
        <v>9.3783583711894991E-2</v>
      </c>
      <c r="K40" s="62">
        <f t="shared" si="16"/>
        <v>6525489</v>
      </c>
      <c r="L40" s="8">
        <f t="shared" si="4"/>
        <v>0.14163306901332673</v>
      </c>
      <c r="O40" s="74"/>
    </row>
    <row r="41" spans="1:15" x14ac:dyDescent="0.25">
      <c r="A41" s="85" t="s">
        <v>158</v>
      </c>
      <c r="B41" s="201">
        <f t="shared" si="19"/>
        <v>1904350</v>
      </c>
      <c r="C41" s="202">
        <v>0</v>
      </c>
      <c r="D41" s="135"/>
      <c r="E41" s="202">
        <v>93778</v>
      </c>
      <c r="F41" s="202">
        <v>1810572</v>
      </c>
      <c r="G41" s="12">
        <f t="shared" ref="G41" si="58">+F41/F42-1</f>
        <v>0.15551879486192721</v>
      </c>
      <c r="H41" s="146">
        <f t="shared" si="2"/>
        <v>0.46361289235569741</v>
      </c>
      <c r="I41" s="210">
        <v>3905353</v>
      </c>
      <c r="J41" s="8">
        <f t="shared" si="41"/>
        <v>8.24407122786186E-2</v>
      </c>
      <c r="K41" s="62">
        <f t="shared" si="16"/>
        <v>5715925</v>
      </c>
      <c r="L41" s="8">
        <f t="shared" si="4"/>
        <v>0.104568191458422</v>
      </c>
    </row>
    <row r="42" spans="1:15" x14ac:dyDescent="0.25">
      <c r="A42" s="85" t="s">
        <v>159</v>
      </c>
      <c r="B42" s="201">
        <f t="shared" si="19"/>
        <v>1689312</v>
      </c>
      <c r="C42" s="202">
        <v>0</v>
      </c>
      <c r="D42" s="135"/>
      <c r="E42" s="202">
        <v>122421</v>
      </c>
      <c r="F42" s="202">
        <v>1566891</v>
      </c>
      <c r="G42" s="12">
        <f t="shared" ref="G42" si="59">+F42/F43-1</f>
        <v>0.16982536510124135</v>
      </c>
      <c r="H42" s="146">
        <f t="shared" si="2"/>
        <v>0.43429277970594643</v>
      </c>
      <c r="I42" s="210">
        <v>3607914</v>
      </c>
      <c r="J42" s="8">
        <f t="shared" si="41"/>
        <v>0.19169663595310249</v>
      </c>
      <c r="K42" s="62">
        <f t="shared" si="16"/>
        <v>5174805</v>
      </c>
      <c r="L42" s="8">
        <f t="shared" si="4"/>
        <v>0.18498834545807186</v>
      </c>
    </row>
    <row r="43" spans="1:15" x14ac:dyDescent="0.25">
      <c r="A43" s="85" t="s">
        <v>160</v>
      </c>
      <c r="B43" s="201">
        <f t="shared" si="19"/>
        <v>1461565</v>
      </c>
      <c r="C43" s="202">
        <v>0</v>
      </c>
      <c r="D43" s="135"/>
      <c r="E43" s="202">
        <v>122142</v>
      </c>
      <c r="F43" s="202">
        <v>1339423</v>
      </c>
      <c r="G43" s="12">
        <f t="shared" ref="G43" si="60">+F43/F44-1</f>
        <v>9.1031687435021436E-3</v>
      </c>
      <c r="H43" s="146">
        <f t="shared" si="2"/>
        <v>0.44241239763980311</v>
      </c>
      <c r="I43" s="210">
        <v>3027544</v>
      </c>
      <c r="J43" s="8">
        <f t="shared" si="41"/>
        <v>4.245582840548412E-2</v>
      </c>
      <c r="K43" s="62">
        <f t="shared" si="16"/>
        <v>4366967</v>
      </c>
      <c r="L43" s="8">
        <f t="shared" si="4"/>
        <v>3.1993944581482747E-2</v>
      </c>
    </row>
    <row r="44" spans="1:15" x14ac:dyDescent="0.25">
      <c r="A44" s="85" t="s">
        <v>161</v>
      </c>
      <c r="B44" s="201">
        <f t="shared" si="19"/>
        <v>1457677</v>
      </c>
      <c r="C44" s="202">
        <v>0</v>
      </c>
      <c r="D44" s="135"/>
      <c r="E44" s="202">
        <v>130337</v>
      </c>
      <c r="F44" s="202">
        <v>1327340</v>
      </c>
      <c r="G44" s="12">
        <f t="shared" ref="G44" si="61">+F44/F45-1</f>
        <v>0.1582231979714035</v>
      </c>
      <c r="H44" s="146">
        <f t="shared" si="2"/>
        <v>0.4570349165117783</v>
      </c>
      <c r="I44" s="210">
        <v>2904242</v>
      </c>
      <c r="J44" s="8">
        <f t="shared" si="41"/>
        <v>-4.5568342325845501E-2</v>
      </c>
      <c r="K44" s="62">
        <f t="shared" si="16"/>
        <v>4231582</v>
      </c>
      <c r="L44" s="8">
        <f t="shared" si="4"/>
        <v>1.0185451319625338E-2</v>
      </c>
    </row>
    <row r="45" spans="1:15" x14ac:dyDescent="0.25">
      <c r="A45" s="85" t="s">
        <v>162</v>
      </c>
      <c r="B45" s="203">
        <f t="shared" si="19"/>
        <v>1273769</v>
      </c>
      <c r="C45" s="204">
        <v>0</v>
      </c>
      <c r="D45" s="184"/>
      <c r="E45" s="204">
        <v>127755</v>
      </c>
      <c r="F45" s="204">
        <v>1146014</v>
      </c>
      <c r="G45" s="184"/>
      <c r="H45" s="185">
        <f t="shared" si="2"/>
        <v>0.3766187672162955</v>
      </c>
      <c r="I45" s="212">
        <v>3042902</v>
      </c>
      <c r="J45" s="209"/>
      <c r="K45" s="217">
        <f t="shared" si="16"/>
        <v>4188916</v>
      </c>
      <c r="L45" s="209"/>
    </row>
    <row r="46" spans="1:15" ht="15.75" hidden="1" thickBot="1" x14ac:dyDescent="0.3">
      <c r="A46" s="10">
        <v>1981</v>
      </c>
      <c r="B46" s="29">
        <f t="shared" si="19"/>
        <v>772474</v>
      </c>
      <c r="C46" s="30"/>
      <c r="D46" s="31"/>
      <c r="E46" s="30">
        <v>107603</v>
      </c>
      <c r="F46" s="30">
        <v>664871</v>
      </c>
      <c r="G46" s="31"/>
      <c r="H46" s="151"/>
      <c r="I46" s="144"/>
      <c r="J46" s="11"/>
      <c r="K46" s="32">
        <f t="shared" si="16"/>
        <v>664871</v>
      </c>
      <c r="L46" s="11"/>
    </row>
  </sheetData>
  <mergeCells count="3">
    <mergeCell ref="B5:G5"/>
    <mergeCell ref="A1:L1"/>
    <mergeCell ref="A2:L2"/>
  </mergeCells>
  <hyperlinks>
    <hyperlink ref="I5" r:id="rId1"/>
  </hyperlinks>
  <pageMargins left="0.2" right="0.2" top="0.75" bottom="0.25" header="0.3" footer="0.3"/>
  <pageSetup scale="90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90" zoomScaleNormal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13" sqref="E13"/>
    </sheetView>
  </sheetViews>
  <sheetFormatPr defaultRowHeight="15" x14ac:dyDescent="0.25"/>
  <cols>
    <col min="2" max="2" width="22.85546875" customWidth="1"/>
  </cols>
  <sheetData>
    <row r="1" spans="1:13" x14ac:dyDescent="0.25">
      <c r="A1" s="114"/>
      <c r="B1" s="129" t="s">
        <v>43</v>
      </c>
    </row>
    <row r="2" spans="1:13" x14ac:dyDescent="0.25">
      <c r="A2" s="114"/>
      <c r="B2" s="125" t="s">
        <v>44</v>
      </c>
    </row>
    <row r="3" spans="1:13" x14ac:dyDescent="0.25">
      <c r="A3" s="114"/>
      <c r="B3" s="130" t="s">
        <v>117</v>
      </c>
    </row>
    <row r="4" spans="1:13" x14ac:dyDescent="0.25">
      <c r="A4" s="114"/>
      <c r="B4" s="126" t="s">
        <v>41</v>
      </c>
    </row>
    <row r="5" spans="1:13" x14ac:dyDescent="0.25">
      <c r="A5" s="114"/>
      <c r="B5" s="127"/>
    </row>
    <row r="6" spans="1:13" x14ac:dyDescent="0.25">
      <c r="A6" s="114"/>
      <c r="B6" s="131" t="s">
        <v>45</v>
      </c>
    </row>
    <row r="7" spans="1:13" x14ac:dyDescent="0.25">
      <c r="A7" s="114"/>
      <c r="B7" s="128" t="s">
        <v>46</v>
      </c>
    </row>
    <row r="8" spans="1:13" x14ac:dyDescent="0.25">
      <c r="A8" s="114"/>
      <c r="B8" s="114"/>
    </row>
    <row r="9" spans="1:13" ht="30" x14ac:dyDescent="0.25">
      <c r="B9" s="118" t="s">
        <v>53</v>
      </c>
      <c r="C9" s="119" t="s">
        <v>54</v>
      </c>
      <c r="D9" s="119" t="s">
        <v>55</v>
      </c>
      <c r="E9" s="120" t="s">
        <v>56</v>
      </c>
      <c r="G9" s="109" t="s">
        <v>42</v>
      </c>
      <c r="M9" s="109" t="s">
        <v>40</v>
      </c>
    </row>
    <row r="10" spans="1:13" x14ac:dyDescent="0.25">
      <c r="B10" s="121" t="s">
        <v>57</v>
      </c>
      <c r="C10" s="122" t="s">
        <v>58</v>
      </c>
      <c r="D10" s="123" t="s">
        <v>59</v>
      </c>
      <c r="E10" s="124" t="s">
        <v>60</v>
      </c>
    </row>
    <row r="11" spans="1:13" x14ac:dyDescent="0.25">
      <c r="B11" s="121" t="s">
        <v>61</v>
      </c>
      <c r="C11" s="122" t="s">
        <v>62</v>
      </c>
      <c r="D11" s="123" t="s">
        <v>59</v>
      </c>
      <c r="E11" s="123" t="s">
        <v>63</v>
      </c>
    </row>
    <row r="12" spans="1:13" x14ac:dyDescent="0.25">
      <c r="B12" s="121" t="s">
        <v>64</v>
      </c>
      <c r="C12" s="122" t="s">
        <v>65</v>
      </c>
      <c r="D12" s="123" t="s">
        <v>59</v>
      </c>
      <c r="E12" s="123" t="s">
        <v>60</v>
      </c>
    </row>
    <row r="13" spans="1:13" x14ac:dyDescent="0.25">
      <c r="B13" s="121" t="s">
        <v>66</v>
      </c>
      <c r="C13" s="123" t="s">
        <v>67</v>
      </c>
      <c r="D13" s="123" t="s">
        <v>59</v>
      </c>
      <c r="E13" s="123" t="s">
        <v>68</v>
      </c>
    </row>
    <row r="14" spans="1:13" x14ac:dyDescent="0.25">
      <c r="B14" s="121" t="s">
        <v>69</v>
      </c>
      <c r="C14" s="122" t="s">
        <v>70</v>
      </c>
      <c r="D14" s="123" t="s">
        <v>59</v>
      </c>
      <c r="E14" s="123" t="s">
        <v>63</v>
      </c>
    </row>
    <row r="15" spans="1:13" x14ac:dyDescent="0.25">
      <c r="B15" s="121" t="s">
        <v>71</v>
      </c>
      <c r="C15" s="122" t="s">
        <v>72</v>
      </c>
      <c r="D15" s="123" t="s">
        <v>59</v>
      </c>
      <c r="E15" s="123" t="s">
        <v>60</v>
      </c>
    </row>
    <row r="16" spans="1:13" x14ac:dyDescent="0.25">
      <c r="B16" s="121" t="s">
        <v>73</v>
      </c>
      <c r="C16" s="123" t="s">
        <v>74</v>
      </c>
      <c r="D16" s="123" t="s">
        <v>59</v>
      </c>
      <c r="E16" s="123" t="s">
        <v>75</v>
      </c>
    </row>
    <row r="17" spans="2:5" x14ac:dyDescent="0.25">
      <c r="B17" s="121" t="s">
        <v>76</v>
      </c>
      <c r="C17" s="123" t="s">
        <v>77</v>
      </c>
      <c r="D17" s="123" t="s">
        <v>59</v>
      </c>
      <c r="E17" s="123" t="s">
        <v>78</v>
      </c>
    </row>
    <row r="18" spans="2:5" x14ac:dyDescent="0.25">
      <c r="B18" s="121" t="s">
        <v>79</v>
      </c>
      <c r="C18" s="123" t="s">
        <v>80</v>
      </c>
      <c r="D18" s="123" t="s">
        <v>59</v>
      </c>
      <c r="E18" s="123" t="s">
        <v>75</v>
      </c>
    </row>
    <row r="19" spans="2:5" x14ac:dyDescent="0.25">
      <c r="B19" s="121" t="s">
        <v>81</v>
      </c>
      <c r="C19" s="123" t="s">
        <v>82</v>
      </c>
      <c r="D19" s="123" t="s">
        <v>59</v>
      </c>
      <c r="E19" s="123" t="s">
        <v>78</v>
      </c>
    </row>
    <row r="20" spans="2:5" x14ac:dyDescent="0.25">
      <c r="B20" s="121" t="s">
        <v>83</v>
      </c>
      <c r="C20" s="122" t="s">
        <v>84</v>
      </c>
      <c r="D20" s="123" t="s">
        <v>59</v>
      </c>
      <c r="E20" s="123" t="s">
        <v>60</v>
      </c>
    </row>
    <row r="21" spans="2:5" x14ac:dyDescent="0.25">
      <c r="B21" s="121" t="s">
        <v>85</v>
      </c>
      <c r="C21" s="123" t="s">
        <v>86</v>
      </c>
      <c r="D21" s="123" t="s">
        <v>59</v>
      </c>
      <c r="E21" s="123" t="s">
        <v>75</v>
      </c>
    </row>
    <row r="22" spans="2:5" x14ac:dyDescent="0.25">
      <c r="B22" s="121" t="s">
        <v>87</v>
      </c>
      <c r="C22" s="123" t="s">
        <v>88</v>
      </c>
      <c r="D22" s="123" t="s">
        <v>59</v>
      </c>
      <c r="E22" s="123" t="s">
        <v>78</v>
      </c>
    </row>
    <row r="23" spans="2:5" x14ac:dyDescent="0.25">
      <c r="B23" s="121" t="s">
        <v>89</v>
      </c>
      <c r="C23" s="122" t="s">
        <v>90</v>
      </c>
      <c r="D23" s="123" t="s">
        <v>59</v>
      </c>
      <c r="E23" s="123" t="s">
        <v>63</v>
      </c>
    </row>
    <row r="24" spans="2:5" x14ac:dyDescent="0.25">
      <c r="B24" s="121" t="s">
        <v>91</v>
      </c>
      <c r="C24" s="123" t="s">
        <v>92</v>
      </c>
      <c r="D24" s="123" t="s">
        <v>59</v>
      </c>
      <c r="E24" s="123" t="s">
        <v>78</v>
      </c>
    </row>
    <row r="25" spans="2:5" x14ac:dyDescent="0.25">
      <c r="B25" s="121" t="s">
        <v>93</v>
      </c>
      <c r="C25" s="122" t="s">
        <v>94</v>
      </c>
      <c r="D25" s="123" t="s">
        <v>59</v>
      </c>
      <c r="E25" s="123" t="s">
        <v>63</v>
      </c>
    </row>
    <row r="26" spans="2:5" x14ac:dyDescent="0.25">
      <c r="B26" s="121" t="s">
        <v>95</v>
      </c>
      <c r="C26" s="123" t="s">
        <v>96</v>
      </c>
      <c r="D26" s="123" t="s">
        <v>59</v>
      </c>
      <c r="E26" s="123" t="s">
        <v>75</v>
      </c>
    </row>
    <row r="27" spans="2:5" x14ac:dyDescent="0.25">
      <c r="B27" s="121" t="s">
        <v>97</v>
      </c>
      <c r="C27" s="122" t="s">
        <v>98</v>
      </c>
      <c r="D27" s="123" t="s">
        <v>59</v>
      </c>
      <c r="E27" s="123" t="s">
        <v>63</v>
      </c>
    </row>
    <row r="28" spans="2:5" x14ac:dyDescent="0.25">
      <c r="B28" s="121" t="s">
        <v>99</v>
      </c>
      <c r="C28" s="123" t="s">
        <v>100</v>
      </c>
      <c r="D28" s="123" t="s">
        <v>59</v>
      </c>
      <c r="E28" s="123" t="s">
        <v>78</v>
      </c>
    </row>
    <row r="29" spans="2:5" x14ac:dyDescent="0.25">
      <c r="B29" s="121" t="s">
        <v>101</v>
      </c>
      <c r="C29" s="123" t="s">
        <v>102</v>
      </c>
      <c r="D29" s="123" t="s">
        <v>59</v>
      </c>
      <c r="E29" s="123" t="s">
        <v>78</v>
      </c>
    </row>
    <row r="30" spans="2:5" x14ac:dyDescent="0.25">
      <c r="B30" s="121" t="s">
        <v>103</v>
      </c>
      <c r="C30" s="122" t="s">
        <v>104</v>
      </c>
      <c r="D30" s="123" t="s">
        <v>59</v>
      </c>
      <c r="E30" s="123" t="s">
        <v>75</v>
      </c>
    </row>
    <row r="31" spans="2:5" x14ac:dyDescent="0.25">
      <c r="B31" s="121" t="s">
        <v>105</v>
      </c>
      <c r="C31" s="123" t="s">
        <v>106</v>
      </c>
      <c r="D31" s="123" t="s">
        <v>59</v>
      </c>
      <c r="E31" s="123" t="s">
        <v>78</v>
      </c>
    </row>
    <row r="32" spans="2:5" x14ac:dyDescent="0.25">
      <c r="B32" s="121" t="s">
        <v>107</v>
      </c>
      <c r="C32" s="122" t="s">
        <v>108</v>
      </c>
      <c r="D32" s="123" t="s">
        <v>59</v>
      </c>
      <c r="E32" s="123" t="s">
        <v>63</v>
      </c>
    </row>
    <row r="33" spans="2:5" x14ac:dyDescent="0.25">
      <c r="B33" s="121" t="s">
        <v>109</v>
      </c>
      <c r="C33" s="122" t="s">
        <v>110</v>
      </c>
      <c r="D33" s="123" t="s">
        <v>59</v>
      </c>
      <c r="E33" s="123" t="s">
        <v>63</v>
      </c>
    </row>
    <row r="34" spans="2:5" x14ac:dyDescent="0.25">
      <c r="B34" s="121" t="s">
        <v>111</v>
      </c>
      <c r="C34" s="123" t="s">
        <v>112</v>
      </c>
      <c r="D34" s="123" t="s">
        <v>59</v>
      </c>
      <c r="E34" s="123" t="s">
        <v>63</v>
      </c>
    </row>
    <row r="35" spans="2:5" x14ac:dyDescent="0.25">
      <c r="B35" s="121" t="s">
        <v>113</v>
      </c>
      <c r="C35" s="122" t="s">
        <v>114</v>
      </c>
      <c r="D35" s="123" t="s">
        <v>59</v>
      </c>
      <c r="E35" s="123" t="s">
        <v>63</v>
      </c>
    </row>
    <row r="36" spans="2:5" x14ac:dyDescent="0.25">
      <c r="B36" s="121" t="s">
        <v>115</v>
      </c>
      <c r="C36" s="122" t="s">
        <v>116</v>
      </c>
      <c r="D36" s="123" t="s">
        <v>59</v>
      </c>
      <c r="E36" s="123" t="s">
        <v>75</v>
      </c>
    </row>
  </sheetData>
  <hyperlinks>
    <hyperlink ref="M9" r:id="rId1"/>
    <hyperlink ref="B4" r:id="rId2"/>
    <hyperlink ref="G9" r:id="rId3"/>
    <hyperlink ref="B2" r:id="rId4" display="https://www.mass.gov/doc/igr-2019-8-certification-standards-guidelines-for-development-of-a-minimum-reassessment-program/download"/>
    <hyperlink ref="B7" r:id="rId5" display="https://www.mass.gov/doc/data-collection-using-new-technologies-best-practice/download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New Growth Values vs CIP Shift</vt:lpstr>
      <vt:lpstr>TTL New Growth and Overrides</vt:lpstr>
      <vt:lpstr>Cherry Sheet</vt:lpstr>
      <vt:lpstr>Evaluations_5 Year Cycle 2020</vt:lpstr>
      <vt:lpstr>'New Growth Values vs CIP Shift'!Print_Area</vt:lpstr>
      <vt:lpstr>'TTL New Growth and Overrides'!Print_Area</vt:lpstr>
      <vt:lpstr>'TTL New Growth and Overrides'!Print_Titles</vt:lpstr>
    </vt:vector>
  </TitlesOfParts>
  <Company>WellPoint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Pratt, Stephen</dc:creator>
  <cp:lastModifiedBy>Pratt, Stephen</cp:lastModifiedBy>
  <cp:lastPrinted>2019-06-25T16:05:29Z</cp:lastPrinted>
  <dcterms:created xsi:type="dcterms:W3CDTF">2019-05-28T18:07:56Z</dcterms:created>
  <dcterms:modified xsi:type="dcterms:W3CDTF">2019-06-26T14:55:16Z</dcterms:modified>
</cp:coreProperties>
</file>