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BCP\_BCP Office Administration\_BCP_Team Member Forms\SteveP\Pratt Personal\Home\Town\FinCom\Excel Files 27Jun2019\"/>
    </mc:Choice>
  </mc:AlternateContent>
  <bookViews>
    <workbookView xWindow="120" yWindow="660" windowWidth="9900" windowHeight="2340" tabRatio="818"/>
  </bookViews>
  <sheets>
    <sheet name="TaxRates_1982_2019" sheetId="2" r:id="rId1"/>
    <sheet name="61A Values_Property Tax" sheetId="6" r:id="rId2"/>
    <sheet name="FY2018_Utilities" sheetId="10" r:id="rId3"/>
    <sheet name="FY2019_Utilities" sheetId="13" r:id="rId4"/>
    <sheet name="FY2018_MHC" sheetId="12" r:id="rId5"/>
    <sheet name="FY2019_MHC" sheetId="14" r:id="rId6"/>
  </sheets>
  <definedNames>
    <definedName name="_xlnm.Print_Area" localSheetId="4">FY2018_MHC!$A$1:$H$37</definedName>
    <definedName name="_xlnm.Print_Area" localSheetId="5">FY2019_MHC!$A$1:$H$38</definedName>
    <definedName name="_xlnm.Print_Area" localSheetId="3">FY2019_Utilities!$A$1:$R$39</definedName>
    <definedName name="_xlnm.Print_Area" localSheetId="0">TaxRates_1982_2019!$A$1:$AA$54</definedName>
  </definedNames>
  <calcPr calcId="152511"/>
</workbook>
</file>

<file path=xl/calcChain.xml><?xml version="1.0" encoding="utf-8"?>
<calcChain xmlns="http://schemas.openxmlformats.org/spreadsheetml/2006/main">
  <c r="D36" i="13" l="1"/>
  <c r="B36" i="13" s="1"/>
  <c r="D35" i="13"/>
  <c r="B35" i="13" s="1"/>
  <c r="B37" i="13" s="1"/>
  <c r="E35" i="13" l="1"/>
  <c r="E36" i="13"/>
  <c r="D37" i="13"/>
  <c r="E37" i="13" l="1"/>
  <c r="B37" i="10" l="1"/>
  <c r="D37" i="10"/>
  <c r="F36" i="10"/>
  <c r="F35" i="10"/>
  <c r="E36" i="10"/>
  <c r="D35" i="10"/>
  <c r="D36" i="10"/>
  <c r="B18" i="14" l="1"/>
  <c r="C18" i="14" s="1"/>
  <c r="D18" i="14" s="1"/>
  <c r="E18" i="14" s="1"/>
  <c r="F18" i="14" s="1"/>
  <c r="G18" i="14" s="1"/>
  <c r="B16" i="14"/>
  <c r="C8" i="14"/>
  <c r="C31" i="13" l="1"/>
  <c r="D31" i="13" s="1"/>
  <c r="E31" i="13" s="1"/>
  <c r="F31" i="13" s="1"/>
  <c r="G31" i="13" s="1"/>
  <c r="H31" i="13" s="1"/>
  <c r="I31" i="13" s="1"/>
  <c r="K31" i="13" s="1"/>
  <c r="L31" i="13" s="1"/>
  <c r="M31" i="13" s="1"/>
  <c r="N31" i="13" s="1"/>
  <c r="O31" i="13" s="1"/>
  <c r="P31" i="13" s="1"/>
  <c r="Q31" i="13" s="1"/>
  <c r="R31" i="13" s="1"/>
  <c r="Q22" i="13"/>
  <c r="Q25" i="13" s="1"/>
  <c r="Q32" i="13" l="1"/>
  <c r="G25" i="14"/>
  <c r="B21" i="14"/>
  <c r="C16" i="14"/>
  <c r="D16" i="14" s="1"/>
  <c r="E16" i="14" s="1"/>
  <c r="G14" i="14"/>
  <c r="E14" i="14"/>
  <c r="D14" i="14"/>
  <c r="B13" i="14"/>
  <c r="B12" i="14"/>
  <c r="B11" i="14"/>
  <c r="B10" i="14"/>
  <c r="B9" i="14"/>
  <c r="C14" i="14"/>
  <c r="B8" i="14"/>
  <c r="B7" i="14"/>
  <c r="D23" i="14" l="1"/>
  <c r="D27" i="14" s="1"/>
  <c r="E17" i="14"/>
  <c r="E19" i="14" s="1"/>
  <c r="E25" i="14"/>
  <c r="C23" i="14"/>
  <c r="C17" i="14"/>
  <c r="C25" i="14"/>
  <c r="F16" i="14"/>
  <c r="G16" i="14" s="1"/>
  <c r="G23" i="14" s="1"/>
  <c r="G27" i="14" s="1"/>
  <c r="E23" i="14"/>
  <c r="E27" i="14" s="1"/>
  <c r="F14" i="14"/>
  <c r="D25" i="14"/>
  <c r="D17" i="14"/>
  <c r="E26" i="14" l="1"/>
  <c r="E29" i="14" s="1"/>
  <c r="C19" i="14"/>
  <c r="C26" i="14"/>
  <c r="F25" i="14"/>
  <c r="F23" i="14"/>
  <c r="F27" i="14" s="1"/>
  <c r="F17" i="14"/>
  <c r="G17" i="14"/>
  <c r="C27" i="14"/>
  <c r="D26" i="14"/>
  <c r="D29" i="14" s="1"/>
  <c r="D19" i="14"/>
  <c r="B14" i="14"/>
  <c r="B25" i="14" l="1"/>
  <c r="B17" i="14"/>
  <c r="B23" i="14"/>
  <c r="B27" i="14" s="1"/>
  <c r="G19" i="14"/>
  <c r="G26" i="14"/>
  <c r="G29" i="14" s="1"/>
  <c r="C29" i="14"/>
  <c r="F19" i="14"/>
  <c r="F26" i="14"/>
  <c r="F29" i="14" s="1"/>
  <c r="B19" i="14" l="1"/>
  <c r="B26" i="14"/>
  <c r="B29" i="14" s="1"/>
  <c r="C28" i="13" l="1"/>
  <c r="D28" i="13" s="1"/>
  <c r="E28" i="13" s="1"/>
  <c r="F28" i="13" s="1"/>
  <c r="G28" i="13" s="1"/>
  <c r="H28" i="13" s="1"/>
  <c r="I28" i="13" s="1"/>
  <c r="K28" i="13" s="1"/>
  <c r="L28" i="13" s="1"/>
  <c r="M28" i="13" s="1"/>
  <c r="N28" i="13" s="1"/>
  <c r="O28" i="13" s="1"/>
  <c r="P28" i="13" s="1"/>
  <c r="Q28" i="13" s="1"/>
  <c r="R28" i="13" s="1"/>
  <c r="O22" i="13" l="1"/>
  <c r="N22" i="13"/>
  <c r="M22" i="13"/>
  <c r="M25" i="13" s="1"/>
  <c r="L22" i="13"/>
  <c r="L25" i="13" s="1"/>
  <c r="K22" i="13"/>
  <c r="H22" i="13"/>
  <c r="H25" i="13" s="1"/>
  <c r="B26" i="13"/>
  <c r="C23" i="13"/>
  <c r="B23" i="13" s="1"/>
  <c r="R22" i="13"/>
  <c r="R25" i="13" s="1"/>
  <c r="P22" i="13"/>
  <c r="I22" i="13"/>
  <c r="I25" i="13" s="1"/>
  <c r="G22" i="13"/>
  <c r="G25" i="13" s="1"/>
  <c r="F22" i="13"/>
  <c r="F25" i="13" s="1"/>
  <c r="E22" i="13"/>
  <c r="D22" i="13"/>
  <c r="D25" i="13" s="1"/>
  <c r="C22" i="13"/>
  <c r="B22" i="13" l="1"/>
  <c r="G36" i="13"/>
  <c r="G35" i="13"/>
  <c r="C26" i="13"/>
  <c r="D26" i="13" s="1"/>
  <c r="D27" i="13" s="1"/>
  <c r="D29" i="13" s="1"/>
  <c r="O25" i="13"/>
  <c r="N25" i="13"/>
  <c r="K25" i="13"/>
  <c r="C32" i="13"/>
  <c r="C25" i="13"/>
  <c r="F32" i="13"/>
  <c r="D32" i="13"/>
  <c r="E32" i="13"/>
  <c r="E25" i="13"/>
  <c r="P25" i="13"/>
  <c r="G37" i="13" l="1"/>
  <c r="E26" i="13"/>
  <c r="F26" i="13" s="1"/>
  <c r="G26" i="13" s="1"/>
  <c r="G27" i="13" s="1"/>
  <c r="G29" i="13" s="1"/>
  <c r="C27" i="13"/>
  <c r="C29" i="13" s="1"/>
  <c r="H32" i="13"/>
  <c r="G32" i="13"/>
  <c r="B32" i="13"/>
  <c r="B25" i="13"/>
  <c r="B27" i="13" s="1"/>
  <c r="B29" i="13" s="1"/>
  <c r="H26" i="13" l="1"/>
  <c r="F27" i="13"/>
  <c r="F29" i="13" s="1"/>
  <c r="E27" i="13"/>
  <c r="E29" i="13" s="1"/>
  <c r="I26" i="13"/>
  <c r="K26" i="13" s="1"/>
  <c r="L26" i="13" s="1"/>
  <c r="M26" i="13" s="1"/>
  <c r="N26" i="13" s="1"/>
  <c r="O26" i="13" s="1"/>
  <c r="P26" i="13" s="1"/>
  <c r="Q26" i="13" s="1"/>
  <c r="R26" i="13" s="1"/>
  <c r="R27" i="13" s="1"/>
  <c r="R29" i="13" s="1"/>
  <c r="H27" i="13"/>
  <c r="H29" i="13" s="1"/>
  <c r="L32" i="13"/>
  <c r="N32" i="13"/>
  <c r="K32" i="13"/>
  <c r="I32" i="13"/>
  <c r="P27" i="13" l="1"/>
  <c r="P29" i="13" s="1"/>
  <c r="I27" i="13"/>
  <c r="I29" i="13" s="1"/>
  <c r="L27" i="13"/>
  <c r="L29" i="13" s="1"/>
  <c r="Q27" i="13"/>
  <c r="Q29" i="13" s="1"/>
  <c r="N27" i="13"/>
  <c r="N29" i="13" s="1"/>
  <c r="M32" i="13"/>
  <c r="O32" i="13"/>
  <c r="K27" i="13"/>
  <c r="K29" i="13" s="1"/>
  <c r="R32" i="13"/>
  <c r="P32" i="13"/>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48" i="2" l="1"/>
  <c r="Y47" i="2"/>
  <c r="O27" i="13"/>
  <c r="O29" i="13" s="1"/>
  <c r="M27" i="13"/>
  <c r="M29" i="13" s="1"/>
  <c r="AA16" i="2"/>
  <c r="AB16" i="2" s="1"/>
  <c r="AA15" i="2"/>
  <c r="AB15" i="2" s="1"/>
  <c r="AC15" i="2" s="1"/>
  <c r="Z42" i="2"/>
  <c r="Z41" i="2"/>
  <c r="Z40" i="2"/>
  <c r="Z39" i="2"/>
  <c r="Z38" i="2"/>
  <c r="Z37" i="2"/>
  <c r="Z36" i="2"/>
  <c r="Z35" i="2"/>
  <c r="Z34" i="2"/>
  <c r="Z33" i="2"/>
  <c r="Z32" i="2"/>
  <c r="Z31" i="2"/>
  <c r="Z30" i="2"/>
  <c r="Z29" i="2"/>
  <c r="Z28" i="2"/>
  <c r="Z27" i="2"/>
  <c r="Z26" i="2"/>
  <c r="Z25" i="2"/>
  <c r="Z24" i="2"/>
  <c r="Z23" i="2"/>
  <c r="Z22" i="2"/>
  <c r="Z21" i="2"/>
  <c r="Z20" i="2"/>
  <c r="Z19" i="2"/>
  <c r="Z18" i="2"/>
  <c r="Z17" i="2"/>
  <c r="AA17" i="2" s="1"/>
  <c r="AB17" i="2" s="1"/>
  <c r="AC17" i="2" s="1"/>
  <c r="Z16" i="2"/>
  <c r="Z15" i="2"/>
  <c r="Z14" i="2"/>
  <c r="AA14" i="2" s="1"/>
  <c r="AB14" i="2" s="1"/>
  <c r="Z13" i="2"/>
  <c r="AA13" i="2" s="1"/>
  <c r="AB13" i="2" s="1"/>
  <c r="AC13" i="2" s="1"/>
  <c r="Z12" i="2"/>
  <c r="AA12" i="2" s="1"/>
  <c r="AB12" i="2" s="1"/>
  <c r="Z11" i="2"/>
  <c r="AA11" i="2" s="1"/>
  <c r="AB11" i="2" s="1"/>
  <c r="AC11" i="2" s="1"/>
  <c r="AC14" i="2" l="1"/>
  <c r="AC16" i="2"/>
  <c r="AC12" i="2"/>
  <c r="G46" i="2"/>
  <c r="G45" i="2"/>
  <c r="G43" i="2"/>
  <c r="E46" i="2"/>
  <c r="E45" i="2"/>
  <c r="E43" i="2"/>
  <c r="C5" i="2"/>
  <c r="N5" i="2"/>
  <c r="Z5" i="2" l="1"/>
  <c r="AA5" i="2" s="1"/>
  <c r="AB5" i="2" s="1"/>
  <c r="I5" i="2"/>
  <c r="B26" i="10"/>
  <c r="B16" i="12"/>
  <c r="C16" i="6"/>
  <c r="I16" i="6" s="1"/>
  <c r="I15" i="6" s="1"/>
  <c r="J15" i="6" s="1"/>
  <c r="C10" i="6"/>
  <c r="I10" i="6" s="1"/>
  <c r="I9" i="6" s="1"/>
  <c r="J9" i="6" s="1"/>
  <c r="N6" i="2"/>
  <c r="O5" i="2" s="1"/>
  <c r="H6" i="2"/>
  <c r="F6" i="2"/>
  <c r="C6" i="2"/>
  <c r="C26" i="10" l="1"/>
  <c r="D26" i="10" s="1"/>
  <c r="E26" i="10" s="1"/>
  <c r="F26" i="10" s="1"/>
  <c r="G26" i="10" s="1"/>
  <c r="H26" i="10" s="1"/>
  <c r="I26" i="10" s="1"/>
  <c r="J26" i="10" s="1"/>
  <c r="G36" i="10"/>
  <c r="K6" i="2"/>
  <c r="D6" i="2"/>
  <c r="Y5" i="2"/>
  <c r="D5" i="2"/>
  <c r="B30" i="12"/>
  <c r="C30" i="12" s="1"/>
  <c r="D30" i="12" s="1"/>
  <c r="E30" i="12" s="1"/>
  <c r="F30" i="12" s="1"/>
  <c r="G30" i="12" s="1"/>
  <c r="Z6" i="2"/>
  <c r="AA6" i="2" s="1"/>
  <c r="AB6" i="2" s="1"/>
  <c r="AC5" i="2" s="1"/>
  <c r="B30" i="14"/>
  <c r="L6" i="2"/>
  <c r="I6" i="2"/>
  <c r="J6" i="2"/>
  <c r="C30" i="14" l="1"/>
  <c r="B31" i="14"/>
  <c r="I29" i="14" s="1"/>
  <c r="M6" i="2"/>
  <c r="E35" i="10"/>
  <c r="G35" i="10" l="1"/>
  <c r="G37" i="10" s="1"/>
  <c r="E37" i="10"/>
  <c r="D30" i="14"/>
  <c r="C31" i="14"/>
  <c r="F12" i="12"/>
  <c r="F14" i="12" s="1"/>
  <c r="F25" i="12" s="1"/>
  <c r="C8" i="12"/>
  <c r="C14" i="12" s="1"/>
  <c r="C25" i="12" s="1"/>
  <c r="C16" i="12"/>
  <c r="D16" i="12" s="1"/>
  <c r="E16" i="12" s="1"/>
  <c r="F16" i="12" s="1"/>
  <c r="G16" i="12" s="1"/>
  <c r="B21" i="12"/>
  <c r="G14" i="12"/>
  <c r="G25" i="12" s="1"/>
  <c r="E14" i="12"/>
  <c r="E25" i="12" s="1"/>
  <c r="D14" i="12"/>
  <c r="D25" i="12" s="1"/>
  <c r="B13" i="12"/>
  <c r="B11" i="12"/>
  <c r="B10" i="12"/>
  <c r="B9" i="12"/>
  <c r="B7" i="12"/>
  <c r="A11" i="6"/>
  <c r="E30" i="14" l="1"/>
  <c r="D31" i="14"/>
  <c r="D23" i="12"/>
  <c r="D27" i="12" s="1"/>
  <c r="B12" i="12"/>
  <c r="E23" i="12"/>
  <c r="E27" i="12" s="1"/>
  <c r="G23" i="12"/>
  <c r="G27" i="12" s="1"/>
  <c r="B8" i="12"/>
  <c r="F23" i="12"/>
  <c r="F27" i="12" s="1"/>
  <c r="C23" i="12"/>
  <c r="C27" i="12" s="1"/>
  <c r="C17" i="12"/>
  <c r="G17" i="12"/>
  <c r="E17" i="12"/>
  <c r="F17" i="12"/>
  <c r="D17" i="12"/>
  <c r="B14" i="12"/>
  <c r="H32" i="10"/>
  <c r="H25" i="10"/>
  <c r="H27" i="10" s="1"/>
  <c r="H29" i="10" s="1"/>
  <c r="C23" i="10"/>
  <c r="B23" i="10" s="1"/>
  <c r="J22" i="10"/>
  <c r="J32" i="10" s="1"/>
  <c r="I22" i="10"/>
  <c r="I25" i="10" s="1"/>
  <c r="I27" i="10" s="1"/>
  <c r="I29" i="10" s="1"/>
  <c r="H22" i="10"/>
  <c r="G22" i="10"/>
  <c r="G32" i="10" s="1"/>
  <c r="F22" i="10"/>
  <c r="F32" i="10" s="1"/>
  <c r="E22" i="10"/>
  <c r="E25" i="10" s="1"/>
  <c r="E27" i="10" s="1"/>
  <c r="E29" i="10" s="1"/>
  <c r="D22" i="10"/>
  <c r="D32" i="10" s="1"/>
  <c r="C22" i="10"/>
  <c r="E31" i="14" l="1"/>
  <c r="F30" i="14"/>
  <c r="B17" i="12"/>
  <c r="B19" i="12" s="1"/>
  <c r="B25" i="12"/>
  <c r="G26" i="12"/>
  <c r="G29" i="12" s="1"/>
  <c r="G31" i="12" s="1"/>
  <c r="G19" i="12"/>
  <c r="D26" i="12"/>
  <c r="D29" i="12" s="1"/>
  <c r="D31" i="12" s="1"/>
  <c r="D19" i="12"/>
  <c r="F26" i="12"/>
  <c r="F29" i="12" s="1"/>
  <c r="F31" i="12" s="1"/>
  <c r="F19" i="12"/>
  <c r="C26" i="12"/>
  <c r="C29" i="12" s="1"/>
  <c r="C31" i="12" s="1"/>
  <c r="C19" i="12"/>
  <c r="E26" i="12"/>
  <c r="E29" i="12" s="1"/>
  <c r="E31" i="12" s="1"/>
  <c r="E19" i="12"/>
  <c r="F25" i="10"/>
  <c r="F27" i="10" s="1"/>
  <c r="F29" i="10" s="1"/>
  <c r="B23" i="12"/>
  <c r="B27" i="12" s="1"/>
  <c r="J25" i="10"/>
  <c r="J27" i="10" s="1"/>
  <c r="J29" i="10" s="1"/>
  <c r="D25" i="10"/>
  <c r="D27" i="10" s="1"/>
  <c r="D29" i="10" s="1"/>
  <c r="G25" i="10"/>
  <c r="G27" i="10" s="1"/>
  <c r="G29" i="10" s="1"/>
  <c r="C25" i="10"/>
  <c r="C27" i="10" s="1"/>
  <c r="C29" i="10" s="1"/>
  <c r="C32" i="10"/>
  <c r="B22" i="10"/>
  <c r="E32" i="10"/>
  <c r="I32" i="10"/>
  <c r="F31" i="14" l="1"/>
  <c r="G30" i="14"/>
  <c r="G31" i="14" s="1"/>
  <c r="B26" i="12"/>
  <c r="B29" i="12" s="1"/>
  <c r="B31" i="12" s="1"/>
  <c r="I29" i="12" s="1"/>
  <c r="C4" i="2"/>
  <c r="C12" i="6" s="1"/>
  <c r="N4" i="2"/>
  <c r="B32" i="10"/>
  <c r="B25" i="10"/>
  <c r="B27" i="10" s="1"/>
  <c r="B29" i="10" s="1"/>
  <c r="K5" i="2"/>
  <c r="J5" i="2"/>
  <c r="H5" i="2"/>
  <c r="F5" i="2"/>
  <c r="Y4" i="2" l="1"/>
  <c r="O4" i="2"/>
  <c r="C14" i="6"/>
  <c r="I14" i="6" s="1"/>
  <c r="I13" i="6" s="1"/>
  <c r="J13" i="6" s="1"/>
  <c r="I12" i="6"/>
  <c r="I11" i="6" s="1"/>
  <c r="J11" i="6" s="1"/>
  <c r="M5" i="2"/>
  <c r="L5" i="2"/>
  <c r="N7" i="2" l="1"/>
  <c r="Z7" i="2" l="1"/>
  <c r="AA7" i="2" s="1"/>
  <c r="AB7" i="2" s="1"/>
  <c r="O6" i="2"/>
  <c r="Y6" i="2"/>
  <c r="X7" i="2"/>
  <c r="AC6" i="2" l="1"/>
  <c r="U17" i="2"/>
  <c r="U16" i="2"/>
  <c r="U13" i="2"/>
  <c r="U12" i="2"/>
  <c r="U19" i="2" l="1"/>
  <c r="U15" i="2"/>
  <c r="U14" i="2"/>
  <c r="U18" i="2"/>
  <c r="C18" i="6" l="1"/>
  <c r="C20" i="6"/>
  <c r="I20" i="6" s="1"/>
  <c r="I19" i="6" s="1"/>
  <c r="J19" i="6" s="1"/>
  <c r="S7" i="2"/>
  <c r="S8" i="2"/>
  <c r="Q7" i="2"/>
  <c r="T7" i="2"/>
  <c r="K7" i="2"/>
  <c r="J7" i="2"/>
  <c r="H7" i="2"/>
  <c r="F7" i="2"/>
  <c r="I7" i="2"/>
  <c r="U7" i="2" l="1"/>
  <c r="W7" i="2" s="1"/>
  <c r="M7" i="2"/>
  <c r="L7" i="2"/>
  <c r="T8" i="2"/>
  <c r="N8" i="2" l="1"/>
  <c r="Z8" i="2" l="1"/>
  <c r="AA8" i="2" s="1"/>
  <c r="AB8" i="2" s="1"/>
  <c r="O7" i="2"/>
  <c r="Y7" i="2"/>
  <c r="P7" i="2"/>
  <c r="R7" i="2" s="1"/>
  <c r="P11" i="2"/>
  <c r="P12" i="2"/>
  <c r="P13" i="2"/>
  <c r="P14" i="2"/>
  <c r="P15" i="2"/>
  <c r="P16" i="2"/>
  <c r="P17" i="2"/>
  <c r="P18" i="2"/>
  <c r="P19" i="2"/>
  <c r="P20" i="2"/>
  <c r="P21" i="2"/>
  <c r="P22" i="2"/>
  <c r="P23" i="2"/>
  <c r="A13" i="6"/>
  <c r="I18" i="6"/>
  <c r="I17" i="6" s="1"/>
  <c r="AC7" i="2" l="1"/>
  <c r="J17" i="6"/>
  <c r="L42" i="2"/>
  <c r="L41" i="2"/>
  <c r="L40" i="2"/>
  <c r="L39" i="2"/>
  <c r="L38" i="2"/>
  <c r="L37" i="2"/>
  <c r="L36" i="2"/>
  <c r="L35" i="2"/>
  <c r="L34" i="2"/>
  <c r="L33" i="2"/>
  <c r="L32" i="2"/>
  <c r="L31" i="2"/>
  <c r="L30" i="2"/>
  <c r="L29" i="2"/>
  <c r="L28" i="2"/>
  <c r="L27" i="2"/>
  <c r="L26" i="2"/>
  <c r="L25" i="2"/>
  <c r="L24" i="2"/>
  <c r="L23" i="2"/>
  <c r="L22" i="2"/>
  <c r="L21" i="2"/>
  <c r="L20" i="2"/>
  <c r="L19" i="2"/>
  <c r="L18" i="2"/>
  <c r="L16" i="2"/>
  <c r="L15" i="2"/>
  <c r="L14" i="2"/>
  <c r="L13" i="2"/>
  <c r="L12" i="2"/>
  <c r="L11" i="2"/>
  <c r="N9" i="2"/>
  <c r="N10" i="2"/>
  <c r="H8" i="2"/>
  <c r="F8" i="2"/>
  <c r="Y9" i="2" l="1"/>
  <c r="Z9" i="2"/>
  <c r="AA9" i="2" s="1"/>
  <c r="AB9" i="2" s="1"/>
  <c r="N43" i="2"/>
  <c r="N45" i="2"/>
  <c r="Y8" i="2"/>
  <c r="N46" i="2"/>
  <c r="P10" i="2"/>
  <c r="Y10" i="2"/>
  <c r="Z10" i="2"/>
  <c r="AA10" i="2" s="1"/>
  <c r="AB10" i="2" s="1"/>
  <c r="AC10" i="2" s="1"/>
  <c r="O10" i="2"/>
  <c r="P9" i="2"/>
  <c r="L10" i="2"/>
  <c r="O9" i="2"/>
  <c r="L9" i="2"/>
  <c r="Q8" i="2"/>
  <c r="U8" i="2" s="1"/>
  <c r="W8" i="2" s="1"/>
  <c r="P8" i="2"/>
  <c r="O8" i="2"/>
  <c r="Y45" i="2" l="1"/>
  <c r="Y43" i="2"/>
  <c r="Y46" i="2"/>
  <c r="AC9" i="2"/>
  <c r="AC8" i="2"/>
  <c r="R8" i="2"/>
  <c r="P24" i="2"/>
  <c r="N48" i="2"/>
  <c r="N47" i="2"/>
  <c r="L48" i="2"/>
  <c r="L47" i="2"/>
  <c r="C48" i="2"/>
  <c r="G48" i="2"/>
  <c r="C47" i="2"/>
  <c r="G47" i="2"/>
  <c r="C22" i="6" l="1"/>
  <c r="I22" i="6" s="1"/>
  <c r="D10" i="2"/>
  <c r="D9" i="2"/>
  <c r="K9" i="2"/>
  <c r="J9" i="2"/>
  <c r="C8" i="2" s="1"/>
  <c r="I9" i="2"/>
  <c r="H9" i="2"/>
  <c r="F9" i="2"/>
  <c r="C45" i="2" l="1"/>
  <c r="C43" i="2"/>
  <c r="C46" i="2"/>
  <c r="D7" i="2"/>
  <c r="D8" i="2"/>
  <c r="J8" i="2"/>
  <c r="K8" i="2"/>
  <c r="G4" i="2"/>
  <c r="I8" i="2"/>
  <c r="L8" i="2"/>
  <c r="I21" i="6"/>
  <c r="J21" i="6" s="1"/>
  <c r="M9" i="2"/>
  <c r="L45" i="2" l="1"/>
  <c r="L43" i="2"/>
  <c r="L46" i="2"/>
  <c r="E4" i="2"/>
  <c r="Z4" i="2" s="1"/>
  <c r="AA4" i="2" s="1"/>
  <c r="AB4" i="2" s="1"/>
  <c r="AC4" i="2" s="1"/>
  <c r="M8" i="2"/>
  <c r="H10" i="2" l="1"/>
  <c r="F10" i="2"/>
  <c r="C24" i="6" l="1"/>
  <c r="I24" i="6" s="1"/>
  <c r="I23" i="6" l="1"/>
  <c r="J23" i="6" s="1"/>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4"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4" i="2"/>
  <c r="J4" i="2"/>
  <c r="I4"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1" i="2"/>
  <c r="J10" i="2"/>
  <c r="J12" i="2"/>
  <c r="J43" i="2" l="1"/>
  <c r="J45" i="2"/>
  <c r="J46" i="2"/>
  <c r="F45" i="2"/>
  <c r="F46" i="2"/>
  <c r="H45" i="2"/>
  <c r="H46" i="2"/>
  <c r="F43" i="2"/>
  <c r="H43" i="2"/>
  <c r="J47" i="2"/>
  <c r="J48" i="2"/>
  <c r="H47" i="2"/>
  <c r="H48" i="2"/>
  <c r="M4" i="2"/>
  <c r="K10" i="2" l="1"/>
  <c r="I10" i="2"/>
  <c r="M10" i="2" l="1"/>
  <c r="E48" i="2" l="1"/>
  <c r="E47" i="2"/>
  <c r="K43" i="2" l="1"/>
  <c r="K45" i="2"/>
  <c r="K48" i="2" l="1"/>
  <c r="O40" i="2"/>
  <c r="AC40" i="2" s="1"/>
  <c r="O39" i="2"/>
  <c r="AC39" i="2" s="1"/>
  <c r="O38" i="2"/>
  <c r="AC38" i="2" s="1"/>
  <c r="O37" i="2"/>
  <c r="O36" i="2"/>
  <c r="AC36" i="2" s="1"/>
  <c r="O35" i="2"/>
  <c r="AC35" i="2" s="1"/>
  <c r="O34" i="2"/>
  <c r="AC34" i="2" s="1"/>
  <c r="O33" i="2"/>
  <c r="AC33" i="2" s="1"/>
  <c r="O32" i="2"/>
  <c r="AC32" i="2" s="1"/>
  <c r="O31" i="2"/>
  <c r="AC31" i="2" s="1"/>
  <c r="O30" i="2"/>
  <c r="AC30" i="2" s="1"/>
  <c r="O29" i="2"/>
  <c r="AC29" i="2" s="1"/>
  <c r="O28" i="2"/>
  <c r="AC28" i="2" s="1"/>
  <c r="O27" i="2"/>
  <c r="AC27" i="2" s="1"/>
  <c r="O26" i="2"/>
  <c r="AC26" i="2" s="1"/>
  <c r="O25" i="2"/>
  <c r="AC25" i="2" s="1"/>
  <c r="O24" i="2"/>
  <c r="AC24" i="2" s="1"/>
  <c r="O23" i="2"/>
  <c r="AC23" i="2" s="1"/>
  <c r="O22" i="2"/>
  <c r="AC22" i="2" s="1"/>
  <c r="O21" i="2"/>
  <c r="AC21" i="2" s="1"/>
  <c r="O20" i="2"/>
  <c r="AC20" i="2" s="1"/>
  <c r="O19" i="2"/>
  <c r="AC19" i="2" s="1"/>
  <c r="O18" i="2"/>
  <c r="AC18" i="2" s="1"/>
  <c r="O17" i="2"/>
  <c r="O16" i="2"/>
  <c r="O15" i="2"/>
  <c r="O14" i="2"/>
  <c r="O13" i="2"/>
  <c r="O12" i="2"/>
  <c r="O11" i="2"/>
  <c r="O41" i="2"/>
  <c r="AC41" i="2" s="1"/>
  <c r="O45" i="2" l="1"/>
  <c r="O43" i="2"/>
  <c r="O46" i="2"/>
  <c r="AC37" i="2"/>
  <c r="O48" i="2"/>
  <c r="O47" i="2"/>
  <c r="K46" i="2"/>
  <c r="K47" i="2" l="1"/>
  <c r="C56" i="6" l="1"/>
  <c r="I56" i="6" s="1"/>
  <c r="C52" i="6"/>
  <c r="I52" i="6" s="1"/>
  <c r="C48" i="6"/>
  <c r="I48" i="6" s="1"/>
  <c r="C44" i="6"/>
  <c r="I44" i="6" s="1"/>
  <c r="C46" i="6"/>
  <c r="I46" i="6" s="1"/>
  <c r="C40" i="6"/>
  <c r="I40" i="6" s="1"/>
  <c r="C42" i="6"/>
  <c r="I42" i="6" s="1"/>
  <c r="C36" i="6"/>
  <c r="I36" i="6" s="1"/>
  <c r="C38" i="6"/>
  <c r="I38" i="6" s="1"/>
  <c r="C32" i="6"/>
  <c r="I32" i="6" s="1"/>
  <c r="C34" i="6"/>
  <c r="I34" i="6" s="1"/>
  <c r="C28" i="6"/>
  <c r="I28" i="6" s="1"/>
  <c r="C30" i="6"/>
  <c r="I30" i="6" s="1"/>
  <c r="C26" i="6"/>
  <c r="I26" i="6" s="1"/>
  <c r="I31" i="6" l="1"/>
  <c r="I39" i="6"/>
  <c r="I33" i="6"/>
  <c r="I41" i="6"/>
  <c r="I47" i="6"/>
  <c r="I27" i="6"/>
  <c r="I43" i="6"/>
  <c r="J43" i="6" s="1"/>
  <c r="I35" i="6"/>
  <c r="I29" i="6"/>
  <c r="I37" i="6"/>
  <c r="I45" i="6"/>
  <c r="J45" i="6" s="1"/>
  <c r="I53" i="6"/>
  <c r="I49" i="6"/>
  <c r="I25" i="6"/>
  <c r="J53" i="6" l="1"/>
  <c r="J49" i="6"/>
  <c r="J47" i="6"/>
  <c r="J37" i="6"/>
  <c r="J35" i="6"/>
  <c r="J41" i="6"/>
  <c r="J39" i="6"/>
  <c r="J29" i="6"/>
  <c r="J31" i="6"/>
  <c r="J33" i="6"/>
  <c r="J25" i="6"/>
  <c r="J27" i="6"/>
  <c r="I42" i="2" l="1"/>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43" i="2" l="1"/>
  <c r="M43" i="2" s="1"/>
  <c r="I46" i="2"/>
  <c r="M46" i="2" s="1"/>
  <c r="I45" i="2"/>
  <c r="M45" i="2"/>
  <c r="I47" i="2"/>
  <c r="M47" i="2" s="1"/>
  <c r="I48" i="2"/>
  <c r="M48" i="2" s="1"/>
  <c r="D11" i="2"/>
  <c r="M11"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1" i="2"/>
  <c r="K1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47" i="2" l="1"/>
  <c r="D48" i="2"/>
  <c r="D43" i="2"/>
  <c r="D46" i="2"/>
  <c r="D45" i="2"/>
</calcChain>
</file>

<file path=xl/comments1.xml><?xml version="1.0" encoding="utf-8"?>
<comments xmlns="http://schemas.openxmlformats.org/spreadsheetml/2006/main">
  <authors>
    <author>Steve Pratt</author>
    <author>Pratt, Stephen</author>
  </authors>
  <commentList>
    <comment ref="A6" authorId="0" shapeId="0">
      <text>
        <r>
          <rPr>
            <b/>
            <sz val="8"/>
            <color indexed="81"/>
            <rFont val="Tahoma"/>
            <family val="2"/>
          </rPr>
          <t xml:space="preserve">Revaluation Year
</t>
        </r>
        <r>
          <rPr>
            <sz val="8"/>
            <color indexed="81"/>
            <rFont val="Tahoma"/>
            <family val="2"/>
          </rPr>
          <t xml:space="preserve">
</t>
        </r>
      </text>
    </comment>
    <comment ref="C7" authorId="1" shapeId="0">
      <text>
        <r>
          <rPr>
            <b/>
            <sz val="9"/>
            <color indexed="81"/>
            <rFont val="Tahoma"/>
            <family val="2"/>
          </rPr>
          <t>Includes Debt Exclusion amount for new Elementary School-Payment 1 of 25</t>
        </r>
        <r>
          <rPr>
            <sz val="9"/>
            <color indexed="81"/>
            <rFont val="Tahoma"/>
            <family val="2"/>
          </rPr>
          <t xml:space="preserve">
</t>
        </r>
      </text>
    </comment>
    <comment ref="A9" authorId="0" shapeId="0">
      <text>
        <r>
          <rPr>
            <b/>
            <sz val="8"/>
            <color indexed="81"/>
            <rFont val="Tahoma"/>
            <family val="2"/>
          </rPr>
          <t xml:space="preserve">Revaluation Year
</t>
        </r>
        <r>
          <rPr>
            <sz val="8"/>
            <color indexed="81"/>
            <rFont val="Tahoma"/>
            <family val="2"/>
          </rPr>
          <t xml:space="preserve">
</t>
        </r>
      </text>
    </comment>
    <comment ref="A12" authorId="0" shapeId="0">
      <text>
        <r>
          <rPr>
            <b/>
            <sz val="8"/>
            <color indexed="81"/>
            <rFont val="Tahoma"/>
            <family val="2"/>
          </rPr>
          <t xml:space="preserve">Revaluation Year
</t>
        </r>
        <r>
          <rPr>
            <sz val="8"/>
            <color indexed="81"/>
            <rFont val="Tahoma"/>
            <family val="2"/>
          </rPr>
          <t xml:space="preserve">
</t>
        </r>
      </text>
    </comment>
    <comment ref="A15" authorId="0" shapeId="0">
      <text>
        <r>
          <rPr>
            <b/>
            <sz val="8"/>
            <color indexed="81"/>
            <rFont val="Tahoma"/>
            <family val="2"/>
          </rPr>
          <t xml:space="preserve">Revaluation Year
</t>
        </r>
        <r>
          <rPr>
            <sz val="8"/>
            <color indexed="81"/>
            <rFont val="Tahoma"/>
            <family val="2"/>
          </rPr>
          <t xml:space="preserve">
</t>
        </r>
      </text>
    </comment>
    <comment ref="A18" authorId="0" shapeId="0">
      <text>
        <r>
          <rPr>
            <b/>
            <sz val="8"/>
            <color indexed="81"/>
            <rFont val="Tahoma"/>
            <family val="2"/>
          </rPr>
          <t xml:space="preserve">Revaluation Year
</t>
        </r>
        <r>
          <rPr>
            <sz val="8"/>
            <color indexed="81"/>
            <rFont val="Tahoma"/>
            <family val="2"/>
          </rPr>
          <t xml:space="preserve">
</t>
        </r>
      </text>
    </comment>
    <comment ref="A21" authorId="0" shapeId="0">
      <text>
        <r>
          <rPr>
            <b/>
            <sz val="8"/>
            <color indexed="81"/>
            <rFont val="Tahoma"/>
            <family val="2"/>
          </rPr>
          <t xml:space="preserve">Revaluation Year
</t>
        </r>
        <r>
          <rPr>
            <sz val="8"/>
            <color indexed="81"/>
            <rFont val="Tahoma"/>
            <family val="2"/>
          </rPr>
          <t xml:space="preserve">
</t>
        </r>
      </text>
    </comment>
    <comment ref="A24" authorId="0" shapeId="0">
      <text>
        <r>
          <rPr>
            <b/>
            <sz val="8"/>
            <color indexed="81"/>
            <rFont val="Tahoma"/>
            <family val="2"/>
          </rPr>
          <t xml:space="preserve">Revaluation Year
</t>
        </r>
        <r>
          <rPr>
            <sz val="8"/>
            <color indexed="81"/>
            <rFont val="Tahoma"/>
            <family val="2"/>
          </rPr>
          <t xml:space="preserve">
</t>
        </r>
      </text>
    </comment>
    <comment ref="A27" authorId="0" shapeId="0">
      <text>
        <r>
          <rPr>
            <b/>
            <sz val="8"/>
            <color indexed="81"/>
            <rFont val="Tahoma"/>
            <family val="2"/>
          </rPr>
          <t xml:space="preserve">Revaluation Year
</t>
        </r>
        <r>
          <rPr>
            <sz val="8"/>
            <color indexed="81"/>
            <rFont val="Tahoma"/>
            <family val="2"/>
          </rPr>
          <t xml:space="preserve">
</t>
        </r>
      </text>
    </comment>
    <comment ref="A30" authorId="0" shapeId="0">
      <text>
        <r>
          <rPr>
            <b/>
            <sz val="8"/>
            <color indexed="81"/>
            <rFont val="Tahoma"/>
            <family val="2"/>
          </rPr>
          <t xml:space="preserve">Revaluation Year
</t>
        </r>
        <r>
          <rPr>
            <sz val="8"/>
            <color indexed="81"/>
            <rFont val="Tahoma"/>
            <family val="2"/>
          </rPr>
          <t xml:space="preserve">
</t>
        </r>
      </text>
    </comment>
    <comment ref="A33" authorId="0" shapeId="0">
      <text>
        <r>
          <rPr>
            <b/>
            <sz val="8"/>
            <color indexed="81"/>
            <rFont val="Tahoma"/>
            <family val="2"/>
          </rPr>
          <t xml:space="preserve">Revaluation Year
</t>
        </r>
        <r>
          <rPr>
            <sz val="8"/>
            <color indexed="81"/>
            <rFont val="Tahoma"/>
            <family val="2"/>
          </rPr>
          <t xml:space="preserve">
</t>
        </r>
      </text>
    </comment>
    <comment ref="A36" authorId="0" shapeId="0">
      <text>
        <r>
          <rPr>
            <b/>
            <sz val="8"/>
            <color indexed="81"/>
            <rFont val="Tahoma"/>
            <family val="2"/>
          </rPr>
          <t xml:space="preserve">Revaluation Year
</t>
        </r>
        <r>
          <rPr>
            <sz val="8"/>
            <color indexed="81"/>
            <rFont val="Tahoma"/>
            <family val="2"/>
          </rPr>
          <t xml:space="preserve">
</t>
        </r>
      </text>
    </comment>
  </commentList>
</comments>
</file>

<file path=xl/sharedStrings.xml><?xml version="1.0" encoding="utf-8"?>
<sst xmlns="http://schemas.openxmlformats.org/spreadsheetml/2006/main" count="451" uniqueCount="325">
  <si>
    <t>Tax rates per $1,000 of Assessed Value</t>
  </si>
  <si>
    <t>Fiscal Year</t>
  </si>
  <si>
    <t>Department of Revenue (DOR) Code</t>
  </si>
  <si>
    <t>1981-1982</t>
  </si>
  <si>
    <t>July 1 to June 30</t>
  </si>
  <si>
    <t>2012-2013</t>
  </si>
  <si>
    <t>2011-2012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</si>
  <si>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</si>
  <si>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</si>
  <si>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</si>
  <si>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</si>
  <si>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</si>
  <si>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</si>
  <si>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</si>
  <si>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</si>
  <si>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</si>
  <si>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</si>
  <si>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</si>
  <si>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</si>
  <si>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</si>
  <si>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</si>
  <si>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</si>
  <si>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</si>
  <si>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</si>
  <si>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</si>
  <si>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</si>
  <si>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</si>
  <si>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</si>
  <si>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</si>
  <si>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</si>
  <si>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</si>
  <si>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</si>
  <si>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</si>
  <si>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</si>
  <si>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</si>
  <si>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</si>
  <si>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R/O* Shift Factor</t>
  </si>
  <si>
    <t>CIP* Shift Factor</t>
  </si>
  <si>
    <t>R/O* Shift Percent age</t>
  </si>
  <si>
    <t>CIP* Tax Rate to R/O Tax Rate</t>
  </si>
  <si>
    <t>FY2012</t>
  </si>
  <si>
    <t>USE CODE</t>
  </si>
  <si>
    <t>FY2014</t>
  </si>
  <si>
    <t xml:space="preserve">&lt;=142 </t>
  </si>
  <si>
    <t xml:space="preserve">143-213 </t>
  </si>
  <si>
    <t>&gt;=214</t>
  </si>
  <si>
    <t>http://www.mass.gov/dor/docs/dls/bla/farmland/fy14/fy2014chapterlandrecommendedvalue.pdf</t>
  </si>
  <si>
    <t>FY2013</t>
  </si>
  <si>
    <t>&lt;=116</t>
  </si>
  <si>
    <t>117-173</t>
  </si>
  <si>
    <t>&gt;=174</t>
  </si>
  <si>
    <t>http://www.mass.gov/dor/docs/dls/bla/farmland/fy13/fy13chapterland.pdf</t>
  </si>
  <si>
    <t>&lt;=112</t>
  </si>
  <si>
    <t>113-167</t>
  </si>
  <si>
    <t>&gt;=168</t>
  </si>
  <si>
    <t>http://www.mass.gov/dor/docs/dls/bla/farmland/fy12/fy12chapterland.pdf</t>
  </si>
  <si>
    <t>FY2011</t>
  </si>
  <si>
    <t>&lt;=146</t>
  </si>
  <si>
    <t>147-218</t>
  </si>
  <si>
    <t>&gt;=219</t>
  </si>
  <si>
    <t>http://www.mass.gov/dor/docs/dls/bla/farmland/fy11/fy11chapterland.pdf</t>
  </si>
  <si>
    <t>FY2010</t>
  </si>
  <si>
    <t>&lt;=88</t>
  </si>
  <si>
    <t>89-133</t>
  </si>
  <si>
    <t>&gt;=134</t>
  </si>
  <si>
    <t>http://www.mass.gov/dor/docs/dls/bla/farmland/fy10/fy10chapterland.pdf</t>
  </si>
  <si>
    <t>FY2009</t>
  </si>
  <si>
    <t>&lt;=107</t>
  </si>
  <si>
    <t>108-162</t>
  </si>
  <si>
    <t>&gt;=163</t>
  </si>
  <si>
    <t>http://www.mass.gov/dor/docs/dls/bla/farmland/fy09/fy09chapter61and61avalue.pdf</t>
  </si>
  <si>
    <t>FY2008</t>
  </si>
  <si>
    <t>&lt;=80</t>
  </si>
  <si>
    <t>81-121</t>
  </si>
  <si>
    <t>&gt;=122</t>
  </si>
  <si>
    <t>http://www.mass.gov/dor/docs/dls/bla/pdfs/61alval08.pdf</t>
  </si>
  <si>
    <t>FY2007</t>
  </si>
  <si>
    <t>&lt;=102</t>
  </si>
  <si>
    <t>103-153</t>
  </si>
  <si>
    <t>&gt;=154</t>
  </si>
  <si>
    <t>http://www.mass.gov/dor/docs/dls/bla/pdfs/61aldval07.pdf</t>
  </si>
  <si>
    <t>FY2006</t>
  </si>
  <si>
    <t>&lt;=77</t>
  </si>
  <si>
    <t>78-118</t>
  </si>
  <si>
    <t>&gt;=119</t>
  </si>
  <si>
    <t>http://www.mass.gov/dor/docs/dls/bla/pdfs/fvac2006.pdf</t>
  </si>
  <si>
    <t>FY2005</t>
  </si>
  <si>
    <t>&lt;=79</t>
  </si>
  <si>
    <t>80-120</t>
  </si>
  <si>
    <t>&gt;=121</t>
  </si>
  <si>
    <t>http://www.mass.gov/dor/docs/dls/bla/pdfs/fvac2005.pdf</t>
  </si>
  <si>
    <t>FY2004</t>
  </si>
  <si>
    <t>&lt;=93</t>
  </si>
  <si>
    <t>94-142</t>
  </si>
  <si>
    <t>&gt;=143</t>
  </si>
  <si>
    <t>http://www.mass.gov/dor/docs/dls/bla/pdfs/fvac2004.pdf</t>
  </si>
  <si>
    <t>FY2003</t>
  </si>
  <si>
    <t>http://www.mass.gov/dor/docs/dls/bla/pdfs/fvac2003.pdf</t>
  </si>
  <si>
    <t>FY2002</t>
  </si>
  <si>
    <t>http://www.mass.gov/dor/docs/dls/bla/pdfs/fvac2002.pdf</t>
  </si>
  <si>
    <t>FY2001</t>
  </si>
  <si>
    <t xml:space="preserve"> &lt;105</t>
  </si>
  <si>
    <t>105-156</t>
  </si>
  <si>
    <t xml:space="preserve">&gt;156 </t>
  </si>
  <si>
    <t xml:space="preserve">Effective tax rate: </t>
  </si>
  <si>
    <t>http://www.carverma.org/documents_governing/masterplan/economicelement.pdf</t>
  </si>
  <si>
    <t>FY2000</t>
  </si>
  <si>
    <t>&lt; 110</t>
  </si>
  <si>
    <t>110-162</t>
  </si>
  <si>
    <t>&gt; 162</t>
  </si>
  <si>
    <t>www.mass.gov/anf/docs/atb/2001/01p613.doc</t>
  </si>
  <si>
    <t>Black Cat Cranberry v.</t>
  </si>
  <si>
    <t>www.mass.gov/anf/docs/atb/2001/01p858.doc</t>
  </si>
  <si>
    <t>Keith A. Mann v.</t>
  </si>
  <si>
    <t>CIP Tax Rate</t>
  </si>
  <si>
    <t>NA</t>
  </si>
  <si>
    <t>Reference on Page 3-16</t>
  </si>
  <si>
    <t>estimate</t>
  </si>
  <si>
    <t xml:space="preserve">&gt;155 </t>
  </si>
  <si>
    <t xml:space="preserve"> &lt;=103</t>
  </si>
  <si>
    <t>104-154</t>
  </si>
  <si>
    <t>Actual Split Rate</t>
  </si>
  <si>
    <t>Town of Carver, Massachusetts - Real and Personal Property Tax Rates</t>
  </si>
  <si>
    <t>Base Year</t>
  </si>
  <si>
    <t>Average 1982-1987</t>
  </si>
  <si>
    <t>Average 1988-1999</t>
  </si>
  <si>
    <t>2013-2014</t>
  </si>
  <si>
    <t>Change in R/O* Tax Rate</t>
  </si>
  <si>
    <t>Change in CIP* Tax Rate</t>
  </si>
  <si>
    <t>Real Property Recommended Taxable Values per Acre</t>
  </si>
  <si>
    <t>Maximum Real Property Tax</t>
  </si>
  <si>
    <r>
      <t xml:space="preserve">1987 </t>
    </r>
    <r>
      <rPr>
        <vertAlign val="superscript"/>
        <sz val="10"/>
        <rFont val="Calibri"/>
        <family val="2"/>
        <scheme val="minor"/>
      </rPr>
      <t>(4)</t>
    </r>
  </si>
  <si>
    <r>
      <t xml:space="preserve">1986 </t>
    </r>
    <r>
      <rPr>
        <vertAlign val="superscript"/>
        <sz val="10"/>
        <rFont val="Calibri"/>
        <family val="2"/>
        <scheme val="minor"/>
      </rPr>
      <t>(4)</t>
    </r>
  </si>
  <si>
    <r>
      <t xml:space="preserve">1985 </t>
    </r>
    <r>
      <rPr>
        <vertAlign val="superscript"/>
        <sz val="10"/>
        <rFont val="Calibri"/>
        <family val="2"/>
        <scheme val="minor"/>
      </rPr>
      <t>(4)</t>
    </r>
  </si>
  <si>
    <r>
      <t xml:space="preserve">1984 </t>
    </r>
    <r>
      <rPr>
        <vertAlign val="superscript"/>
        <sz val="10"/>
        <rFont val="Calibri"/>
        <family val="2"/>
        <scheme val="minor"/>
      </rPr>
      <t>(4)</t>
    </r>
  </si>
  <si>
    <r>
      <t xml:space="preserve">1983 </t>
    </r>
    <r>
      <rPr>
        <vertAlign val="superscript"/>
        <sz val="10"/>
        <rFont val="Calibri"/>
        <family val="2"/>
        <scheme val="minor"/>
      </rPr>
      <t>(4)</t>
    </r>
  </si>
  <si>
    <r>
      <t xml:space="preserve">1982 </t>
    </r>
    <r>
      <rPr>
        <vertAlign val="superscript"/>
        <sz val="10"/>
        <rFont val="Calibri"/>
        <family val="2"/>
        <scheme val="minor"/>
      </rPr>
      <t>(4)</t>
    </r>
  </si>
  <si>
    <r>
      <rPr>
        <i/>
        <vertAlign val="superscript"/>
        <sz val="9"/>
        <color theme="1"/>
        <rFont val="Calibri"/>
        <family val="2"/>
        <scheme val="minor"/>
      </rPr>
      <t>(4)</t>
    </r>
    <r>
      <rPr>
        <i/>
        <sz val="9"/>
        <color theme="1"/>
        <rFont val="Calibri"/>
        <family val="2"/>
        <scheme val="minor"/>
      </rPr>
      <t xml:space="preserve"> Tax Rates were calculated using only 50% of full assessed value for Real Property from FY1982-1987</t>
    </r>
  </si>
  <si>
    <t>Change in SFH (101) Property  Tax Bill</t>
  </si>
  <si>
    <t>R/O* Tax Rate</t>
  </si>
  <si>
    <t>CIP* Tax Rate</t>
  </si>
  <si>
    <t>Maximum Split Rate</t>
  </si>
  <si>
    <t>2014-2015</t>
  </si>
  <si>
    <t>Legend * R/O [R = Residential; O = Open Space]; CIP [C = Commercial; I = Industrial; P = Personal Property]</t>
  </si>
  <si>
    <t>FY2015</t>
  </si>
  <si>
    <t>For Informational Purposes Only</t>
  </si>
  <si>
    <t>&lt;=129</t>
  </si>
  <si>
    <t xml:space="preserve">130-196 </t>
  </si>
  <si>
    <t>&gt;=197</t>
  </si>
  <si>
    <t>http://www.mass.gov/dor/docs/dls/bla/farmland/fy15/chapterlandvaluesfy15.pdf</t>
  </si>
  <si>
    <t>FY2016</t>
  </si>
  <si>
    <t>http://www.mass.gov/dor/docs/dls/bla/farmland/fy16/chapterlandvaluesfy16.pdf</t>
  </si>
  <si>
    <t>&lt;=110</t>
  </si>
  <si>
    <t xml:space="preserve">111-166 </t>
  </si>
  <si>
    <t>&gt;=167</t>
  </si>
  <si>
    <r>
      <rPr>
        <b/>
        <u/>
        <sz val="11"/>
        <rFont val="Calibri"/>
        <family val="2"/>
        <scheme val="minor"/>
      </rPr>
      <t xml:space="preserve">per </t>
    </r>
    <r>
      <rPr>
        <u/>
        <sz val="11"/>
        <color theme="5" tint="-0.249977111117893"/>
        <rFont val="Calibri"/>
        <family val="2"/>
        <scheme val="minor"/>
      </rPr>
      <t xml:space="preserve">Pound </t>
    </r>
    <r>
      <rPr>
        <u/>
        <sz val="11"/>
        <color theme="1"/>
        <rFont val="Calibri"/>
        <family val="2"/>
        <scheme val="minor"/>
      </rPr>
      <t xml:space="preserve">(based on </t>
    </r>
    <r>
      <rPr>
        <u/>
        <sz val="11"/>
        <color theme="3" tint="0.39997558519241921"/>
        <rFont val="Calibri"/>
        <family val="2"/>
        <scheme val="minor"/>
      </rPr>
      <t>Barrel</t>
    </r>
    <r>
      <rPr>
        <u/>
        <sz val="11"/>
        <color theme="1"/>
        <rFont val="Calibri"/>
        <family val="2"/>
        <scheme val="minor"/>
      </rPr>
      <t>)</t>
    </r>
  </si>
  <si>
    <r>
      <t xml:space="preserve">per </t>
    </r>
    <r>
      <rPr>
        <u/>
        <sz val="11"/>
        <color theme="3" tint="0.39997558519241921"/>
        <rFont val="Calibri"/>
        <family val="2"/>
        <scheme val="minor"/>
      </rPr>
      <t>Barrel</t>
    </r>
    <r>
      <rPr>
        <u/>
        <sz val="11"/>
        <color theme="4" tint="0.39997558519241921"/>
        <rFont val="Calibri"/>
        <family val="2"/>
        <scheme val="minor"/>
      </rPr>
      <t xml:space="preserve"> </t>
    </r>
    <r>
      <rPr>
        <u/>
        <sz val="11"/>
        <rFont val="Calibri"/>
        <family val="2"/>
        <scheme val="minor"/>
      </rPr>
      <t>(100lb)</t>
    </r>
    <r>
      <rPr>
        <b/>
        <u/>
        <sz val="11"/>
        <color theme="1"/>
        <rFont val="Calibri"/>
        <family val="2"/>
        <scheme val="minor"/>
      </rPr>
      <t>/ per Acre</t>
    </r>
  </si>
  <si>
    <t>Tax Rate per $1000 of Value</t>
  </si>
  <si>
    <t>2015-2016</t>
  </si>
  <si>
    <t>MHC Inc</t>
  </si>
  <si>
    <t>MHC PT</t>
  </si>
  <si>
    <t>SFH Inc</t>
  </si>
  <si>
    <t>2016-2017</t>
  </si>
  <si>
    <t>FY2017</t>
  </si>
  <si>
    <t>http://www.mass.gov/dor/docs/dls/bla/farmland/fy17/chapterlandvaluesfy17.pdf</t>
  </si>
  <si>
    <t>&lt;=130</t>
  </si>
  <si>
    <t xml:space="preserve">131-197 </t>
  </si>
  <si>
    <t>&gt;=198</t>
  </si>
  <si>
    <t>FY2018</t>
  </si>
  <si>
    <t>https://www.mass.gov/files/documents/2017/09/19/2018%20Chapter61A%20Farmland%20Values.pdf</t>
  </si>
  <si>
    <t>&lt;125</t>
  </si>
  <si>
    <t>161-195</t>
  </si>
  <si>
    <t>&gt;230</t>
  </si>
  <si>
    <t>125-160</t>
  </si>
  <si>
    <t>196-230</t>
  </si>
  <si>
    <r>
      <t>Below Average</t>
    </r>
    <r>
      <rPr>
        <u/>
        <sz val="11"/>
        <color theme="1"/>
        <rFont val="Calibri"/>
        <family val="2"/>
        <scheme val="minor"/>
      </rPr>
      <t xml:space="preserve"> </t>
    </r>
    <r>
      <rPr>
        <u/>
        <sz val="10"/>
        <color theme="1"/>
        <rFont val="Calibri"/>
        <family val="2"/>
        <scheme val="minor"/>
      </rPr>
      <t>Barrels</t>
    </r>
  </si>
  <si>
    <r>
      <t>Average</t>
    </r>
    <r>
      <rPr>
        <u/>
        <sz val="11"/>
        <color theme="1"/>
        <rFont val="Calibri"/>
        <family val="2"/>
        <scheme val="minor"/>
      </rPr>
      <t xml:space="preserve">  </t>
    </r>
    <r>
      <rPr>
        <u/>
        <sz val="10"/>
        <color theme="1"/>
        <rFont val="Calibri"/>
        <family val="2"/>
        <scheme val="minor"/>
      </rPr>
      <t>Barrels</t>
    </r>
  </si>
  <si>
    <r>
      <t>Above Average</t>
    </r>
    <r>
      <rPr>
        <u/>
        <sz val="11"/>
        <color theme="1"/>
        <rFont val="Calibri"/>
        <family val="2"/>
        <scheme val="minor"/>
      </rPr>
      <t xml:space="preserve"> </t>
    </r>
    <r>
      <rPr>
        <u/>
        <sz val="10"/>
        <color theme="1"/>
        <rFont val="Calibri"/>
        <family val="2"/>
        <scheme val="minor"/>
      </rPr>
      <t>Barrels</t>
    </r>
  </si>
  <si>
    <t>Per Acre</t>
  </si>
  <si>
    <t>Informational Only</t>
  </si>
  <si>
    <t>Comcast</t>
  </si>
  <si>
    <t>Verizon</t>
  </si>
  <si>
    <t>Southern Sky</t>
  </si>
  <si>
    <t>New Cingular</t>
  </si>
  <si>
    <t>Personal Property</t>
  </si>
  <si>
    <t>Total Personal Property</t>
  </si>
  <si>
    <t>Algonquin Gas</t>
  </si>
  <si>
    <t>StNo</t>
  </si>
  <si>
    <t>Street</t>
  </si>
  <si>
    <t>SOUTH MEADOW RD</t>
  </si>
  <si>
    <t>TREMONT ST</t>
  </si>
  <si>
    <t>OLD CENTER ST</t>
  </si>
  <si>
    <t>CENTER ST</t>
  </si>
  <si>
    <t>MAIN ST</t>
  </si>
  <si>
    <t>PURCHASE ST</t>
  </si>
  <si>
    <t>21A</t>
  </si>
  <si>
    <t>No Real Property reported in the Town of Carver Assessor's Online Database</t>
  </si>
  <si>
    <t>Real Property Value</t>
  </si>
  <si>
    <t>Personal Property Value</t>
  </si>
  <si>
    <t>Total Assessed Value</t>
  </si>
  <si>
    <t>0 OFF</t>
  </si>
  <si>
    <t>Town of Carver, Massachusetts - Real and Personal Property Taxes</t>
  </si>
  <si>
    <t>Cranberry Village</t>
  </si>
  <si>
    <t>South Meadow Village</t>
  </si>
  <si>
    <t>Meadow Woods Estates</t>
  </si>
  <si>
    <t>Real Property Values</t>
  </si>
  <si>
    <t>Total Number of MHC (M/H Site) Residences</t>
  </si>
  <si>
    <t>Pine Tree Village</t>
  </si>
  <si>
    <t>Real Property Totals</t>
  </si>
  <si>
    <t>There are  1115 homes located in Manufactured Housing Communities (MHC) "Villages" of Cranberry, Pine Tree, South Meadow, Waterview and Meadow Woods Estates. For tax purposes, manufactured homes are classified as personal property and generally exempted from real property taxes. M.G.L. c. 140, § 32G; M.G.L. c. 59, § 5, cl. (36). In place of a property tax, homeowners pay a monthly license fee, which is collected by the community owner/operator and turned over to the town. M.G.L. c. 140, § 32G.27. The amount of the license fee is determined by your local city or town and varies from $6-$12 per month. In the Town of Carver it is $9 per month ($108 annually). On behalf of the MHC, residents do pay their share of property taxes for the land and any common structures included with monthly fees to the Association.</t>
  </si>
  <si>
    <t>Difference</t>
  </si>
  <si>
    <t>NStar Net Original Cost*</t>
  </si>
  <si>
    <t>2017-2018</t>
  </si>
  <si>
    <r>
      <rPr>
        <i/>
        <vertAlign val="superscript"/>
        <sz val="9"/>
        <rFont val="Calibri"/>
        <family val="2"/>
        <scheme val="minor"/>
      </rPr>
      <t xml:space="preserve">(2) </t>
    </r>
    <r>
      <rPr>
        <i/>
        <sz val="9"/>
        <rFont val="Calibri"/>
        <family val="2"/>
        <scheme val="minor"/>
      </rPr>
      <t>Straight Tax Rate (FOR INFORMATIONAL PURPOSES ONLY)</t>
    </r>
  </si>
  <si>
    <t>FY 2018 Assessed Property Values for selected Utilities</t>
  </si>
  <si>
    <t>FY2018 CIP Tax Rate per $1,000</t>
  </si>
  <si>
    <t>FY2018 Property Taxes</t>
  </si>
  <si>
    <t>Federal Road Solar</t>
  </si>
  <si>
    <t>T- MOBILE Northeast</t>
  </si>
  <si>
    <t>NStar Electric &amp; Gas</t>
  </si>
  <si>
    <t>Estimated FY2018 NStar Accumulated Reserve*</t>
  </si>
  <si>
    <t>FY2018 Real Property Tax Rate per $1,000</t>
  </si>
  <si>
    <t>FY2018 Real Property Taxes</t>
  </si>
  <si>
    <t>Annualized CPA Surcharge (included in Monthly payments to Association)</t>
  </si>
  <si>
    <t>South Meadow Village - 0 SOUTH MEADOW RD</t>
  </si>
  <si>
    <t>South Meadow Village - 22 WARD ST</t>
  </si>
  <si>
    <t>Cranberry Village - 75 CRANBERRY RD</t>
  </si>
  <si>
    <t>Pine Tree Village - 52 WAREHAM ST</t>
  </si>
  <si>
    <t>Waterview Village - 27 JILL MARIE DR</t>
  </si>
  <si>
    <t>Waterview Village - 0 SILVA ST</t>
  </si>
  <si>
    <t>Meadow Woods Estates - 283 MEADOW ST</t>
  </si>
  <si>
    <t>Manufactured Housing Communities (MHC) Percent of Tax Levy</t>
  </si>
  <si>
    <t>FY 2018 Total Tax Levy</t>
  </si>
  <si>
    <t>Average Property Tax Per MHC Residential Owner (included in Monthly payments to Association)</t>
  </si>
  <si>
    <t>Average Property Tax, CPA Surcharge Fee and License Fees Per MHC Residence (included in Monthly payments to Association)</t>
  </si>
  <si>
    <t>CPA Surcharge 3.0%</t>
  </si>
  <si>
    <t>Annualized License Fee per MHC Residence (included in Monthly payments to Association and in lieu of Property Tax on MHC Residence)</t>
  </si>
  <si>
    <t>(Difference  -:-  1000 x CIP Tax Rate)</t>
  </si>
  <si>
    <t>NSTAR ELECTRIC COMPANY                                         (An Eversource company)</t>
  </si>
  <si>
    <t xml:space="preserve">  High (Split Rate)</t>
  </si>
  <si>
    <t>FY2019</t>
  </si>
  <si>
    <t>https://www.mass.gov/files/documents/2018/03/28/2019chapter61afarmlandvalues.pdf</t>
  </si>
  <si>
    <t>2018-2019</t>
  </si>
  <si>
    <r>
      <t>2019</t>
    </r>
    <r>
      <rPr>
        <i/>
        <vertAlign val="superscript"/>
        <sz val="10"/>
        <color theme="0" tint="-0.499984740745262"/>
        <rFont val="Calibri"/>
        <family val="2"/>
        <scheme val="minor"/>
      </rPr>
      <t xml:space="preserve"> (2)</t>
    </r>
  </si>
  <si>
    <t>&lt;89</t>
  </si>
  <si>
    <t>89-124</t>
  </si>
  <si>
    <t>125-159</t>
  </si>
  <si>
    <t>&gt;195</t>
  </si>
  <si>
    <t>160-194</t>
  </si>
  <si>
    <t>https://www.mass.gov/service-details/farmland-valuations</t>
  </si>
  <si>
    <t>Cropland Harvested – This land represents the highest use of land in the agricultural enterprise. All land from which a crop was harvested or hay was cut, in the current year falls into this category. This includes the land in vegetables, sod, nurseries, orchards, vineyards, other perennial plantings, and greenhouses.</t>
  </si>
  <si>
    <r>
      <t>2019</t>
    </r>
    <r>
      <rPr>
        <sz val="10"/>
        <color theme="1"/>
        <rFont val="Calibri"/>
        <family val="2"/>
        <scheme val="minor"/>
      </rPr>
      <t xml:space="preserve"> </t>
    </r>
    <r>
      <rPr>
        <vertAlign val="superscript"/>
        <sz val="10"/>
        <color theme="1"/>
        <rFont val="Calibri"/>
        <family val="2"/>
        <scheme val="minor"/>
      </rPr>
      <t>(3)</t>
    </r>
  </si>
  <si>
    <t>Average 1982-2019</t>
  </si>
  <si>
    <t>Average 2008-2019</t>
  </si>
  <si>
    <t>Average 2000-2019</t>
  </si>
  <si>
    <t>Average Property Value Per MHC Residence for common structures and land (excludes the value of MHC Residence)</t>
  </si>
  <si>
    <t>Source for Fiscal Year Cropland Harvested (61A) per Acre Assessed Value and Barrel Ranges from Below Average to Above Average Yields</t>
  </si>
  <si>
    <t>Percent Change in SFH (101) Property  Tax Bill</t>
  </si>
  <si>
    <r>
      <t>Average Annual SFH (101) Property Tax Bill</t>
    </r>
    <r>
      <rPr>
        <vertAlign val="superscript"/>
        <sz val="10"/>
        <color theme="1"/>
        <rFont val="Calibri"/>
        <family val="2"/>
        <scheme val="minor"/>
      </rPr>
      <t xml:space="preserve"> (1)</t>
    </r>
  </si>
  <si>
    <r>
      <t xml:space="preserve">Farmland Valuation - FVAC CHAPTER LAND RECOMMENDED VALUE </t>
    </r>
    <r>
      <rPr>
        <sz val="11"/>
        <color theme="1"/>
        <rFont val="Calibri"/>
        <family val="2"/>
        <scheme val="minor"/>
      </rPr>
      <t>- RANGE OF PRODUCTION / BARRELS PER ACRE CRANBERRIES - Cropland Harvested</t>
    </r>
  </si>
  <si>
    <t>Average Single Family Home (SFH) Tax Bill with CPA Surcharge</t>
  </si>
  <si>
    <t>Percent</t>
  </si>
  <si>
    <t>Percent of TTL</t>
  </si>
  <si>
    <t>FY2018 Total Tax Levy (TTL)</t>
  </si>
  <si>
    <r>
      <rPr>
        <i/>
        <vertAlign val="superscript"/>
        <sz val="9"/>
        <rFont val="Calibri"/>
        <family val="2"/>
        <scheme val="minor"/>
      </rPr>
      <t xml:space="preserve">(1) </t>
    </r>
    <r>
      <rPr>
        <i/>
        <sz val="9"/>
        <rFont val="Calibri"/>
        <family val="2"/>
        <scheme val="minor"/>
      </rPr>
      <t>Based on FY2019 assessed value of $320,340. Community Preservation Act (CPA) 3% Surcharge (effective FY2007) is not included in above amounts.</t>
    </r>
  </si>
  <si>
    <r>
      <rPr>
        <i/>
        <vertAlign val="superscript"/>
        <sz val="9"/>
        <rFont val="Calibri"/>
        <family val="2"/>
        <scheme val="minor"/>
      </rPr>
      <t>(3)</t>
    </r>
    <r>
      <rPr>
        <i/>
        <sz val="9"/>
        <rFont val="Calibri"/>
        <family val="2"/>
        <scheme val="minor"/>
      </rPr>
      <t xml:space="preserve"> FY2019 Tax Rates based upon Residential/CIP Shift presentation by the BOA and voted upon by the BOS Tax Rate Hearing on November 20, 2018.</t>
    </r>
  </si>
  <si>
    <t>Estimated NStar Gross Original Cost *</t>
  </si>
  <si>
    <t>FY2019 CIP Tax Rate per $1,000</t>
  </si>
  <si>
    <t>FY2019 Property Taxes</t>
  </si>
  <si>
    <t>FY2019 Total Tax Levy (TTL)</t>
  </si>
  <si>
    <t xml:space="preserve">CARVER MA1 LLC </t>
  </si>
  <si>
    <t xml:space="preserve">CELLCO PARTNERSHIP </t>
  </si>
  <si>
    <t xml:space="preserve">GLC-(MA) ACUSHNET PURCHASE ST LLC </t>
  </si>
  <si>
    <t xml:space="preserve">GREENN 1A LLC </t>
  </si>
  <si>
    <t xml:space="preserve">KDC FINANCIAL CORP </t>
  </si>
  <si>
    <t>SLT CONSTRUCTION CORP</t>
  </si>
  <si>
    <t xml:space="preserve">Property Tax Ratio Average SFH to MHC Residence </t>
  </si>
  <si>
    <t>FY2019 Assessed Property Values for selected Utilities and other businesses</t>
  </si>
  <si>
    <t>FY2018 Assessed Property Values for Manufactured Housing Communities (MHC) located in the "Villages" and Meadow Woods Estates</t>
  </si>
  <si>
    <t>http://meadowwoodscommunity.com/</t>
  </si>
  <si>
    <t>http://www.cranberryvillage.coop/</t>
  </si>
  <si>
    <t>https://www.southmeadowvillage.com/</t>
  </si>
  <si>
    <t>http://www.pinetreevillage.coop/</t>
  </si>
  <si>
    <t>Waterview Village</t>
  </si>
  <si>
    <t>Real Property reported below, if applicable from Town of Carver Assessor's Online Database</t>
  </si>
  <si>
    <r>
      <t>LASSONDE</t>
    </r>
    <r>
      <rPr>
        <b/>
        <sz val="8"/>
        <color theme="1"/>
        <rFont val="Calibri"/>
        <family val="2"/>
        <scheme val="minor"/>
      </rPr>
      <t xml:space="preserve"> (Clemente) </t>
    </r>
    <r>
      <rPr>
        <b/>
        <sz val="11"/>
        <color theme="1"/>
        <rFont val="Calibri"/>
        <family val="2"/>
        <scheme val="minor"/>
      </rPr>
      <t>PAPPAS</t>
    </r>
  </si>
  <si>
    <t>FY2019 Assessed Property Values for Manufactured Housing Communities (MHC) located in the "Villages" and Meadow Woods Estates</t>
  </si>
  <si>
    <t>Waterview Park LLC - 0 SILVA ST</t>
  </si>
  <si>
    <t>Waterview Park LLC  - 27 JILL MARIE DR</t>
  </si>
  <si>
    <t>South Meadow Village COOP - 0 SOUTH MEADOW RD</t>
  </si>
  <si>
    <t>South Meadow Village COOP - 22 WARD ST</t>
  </si>
  <si>
    <t>Cranberry Village Residents Association- 75 CRANBERRY RD</t>
  </si>
  <si>
    <t>Pine Tree Village Resident Association - 52 WAREHAM ST</t>
  </si>
  <si>
    <t>Meadow Woods Estates The - 283 MEADOW ST</t>
  </si>
  <si>
    <t>FY2019 Real Property Tax Rate per $1,000</t>
  </si>
  <si>
    <t>FY 2019 Total Tax Levy</t>
  </si>
  <si>
    <t>FY2019 Real Property Taxes</t>
  </si>
  <si>
    <t>Total CPA Surcharge 3.0%</t>
  </si>
  <si>
    <t>Single Tax Rate</t>
  </si>
  <si>
    <t>R/O* Shift Amount for Average SFH</t>
  </si>
  <si>
    <t>Single Rate</t>
  </si>
  <si>
    <t xml:space="preserve">  Low (Single Rate)</t>
  </si>
  <si>
    <t>NSTAR (An Eversource company)</t>
  </si>
  <si>
    <t>There are  1115 homes located in Manufactured Housing Communities (MHC) "Villages" of Cranberry, Pine Tree, South Meadow, Waterview and Meadow Woods Estates. For tax purposes, manufactured homes are classified as personal property and generally exempted from real property taxes. M.G.L. c. 140, § 32G; M.G.L. c. 59, § 5, cl. (36). In place of a property tax, homeowners pay a monthly license fee, which is collected by the community owner/operator and turned over to the town. M.G.L. c. 140, § 32G.27. The amount of the license fee is determined by your local city or town and varies from $6-$12 per month. In the Town of Carver it is $9 per month ($108 annually). On behalf of the MHC, residents also pay a divided share of property taxes for the MHC land and any common structures included with monthly fees to the applicable MHC Association.</t>
  </si>
  <si>
    <t>Real Property Tax Ratio Average SFH to MHC Home</t>
  </si>
  <si>
    <t>Average Real Property Value Per MHC Home for land and common structures (excludes value of MHC Home)</t>
  </si>
  <si>
    <t>Annualized CPA Surcharge Per MHC Home (included in Monthly payments to Association)</t>
  </si>
  <si>
    <t>Annualized Real Property Tax Per MHC Home (included in Monthly payments to Association)</t>
  </si>
  <si>
    <t>Annualized License Fee per MHC Home (included in Monthly payments to Association and in lieu of Real Property Tax)</t>
  </si>
  <si>
    <t>Annualized Real Property Tax, CPA Surcharge Fee and License Fee Per MHC Home (included in Monthly payments to Association)</t>
  </si>
  <si>
    <t>Change</t>
  </si>
  <si>
    <t>Tax+CPA</t>
  </si>
  <si>
    <t>Change in Single Tax Rate</t>
  </si>
  <si>
    <t>Average CPA Sur charge</t>
  </si>
  <si>
    <t>Additional Real and Personal Property</t>
  </si>
  <si>
    <t>Electric</t>
  </si>
  <si>
    <t>Gas</t>
  </si>
  <si>
    <t>Factor</t>
  </si>
  <si>
    <t>* Using the NStar FY2018 letters dated February 14, 2017</t>
  </si>
  <si>
    <t>FY2019 NStar Accumulated Reserve*</t>
  </si>
  <si>
    <r>
      <t>Mid Below</t>
    </r>
    <r>
      <rPr>
        <u/>
        <sz val="11"/>
        <color theme="1"/>
        <rFont val="Calibri"/>
        <family val="2"/>
        <scheme val="minor"/>
      </rPr>
      <t xml:space="preserve"> Barrels</t>
    </r>
  </si>
  <si>
    <r>
      <t>Mid Above</t>
    </r>
    <r>
      <rPr>
        <u/>
        <sz val="11"/>
        <color theme="1"/>
        <rFont val="Calibri"/>
        <family val="2"/>
        <scheme val="minor"/>
      </rPr>
      <t xml:space="preserve"> Barrels</t>
    </r>
  </si>
  <si>
    <t>* Using the NStar FY2018 letters dated February 14, 2017 to calculate the Accumulated Reserve Factors of -.2140 and -.3353</t>
  </si>
  <si>
    <t>Totals</t>
  </si>
  <si>
    <t>Average SFH (101) Assessed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</si>
</sst>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_(* #,##0.000_);_(* \(#,##0.000\);_(* &quot;-&quot;??_);_(@_)"/>
    <numFmt numFmtId="165" formatCode="0.0%"/>
    <numFmt numFmtId="166" formatCode="000"/>
    <numFmt numFmtId="167" formatCode="_(&quot;$&quot;* #,##0_);_(&quot;$&quot;* \(#,##0\);_(&quot;$&quot;* &quot;-&quot;??_);_(@_)"/>
    <numFmt numFmtId="168" formatCode="&quot;$&quot;#,##0.0000_);[Red]\(&quot;$&quot;#,##0.0000\)"/>
    <numFmt numFmtId="169" formatCode="_(* #,##0_);_(* \(#,##0\);_(* &quot;-&quot;??_);_(@_)"/>
    <numFmt numFmtId="170" formatCode="0.0&quot;:&quot;\1"/>
    <numFmt numFmtId="171" formatCode="0.0000"/>
    <numFmt numFmtId="172" formatCode="_(&quot;$&quot;* #,##0.0000_);_(&quot;$&quot;* \(#,##0.0000\);_(&quot;$&quot;* &quot;-&quot;??_);_(@_)"/>
  </numFmts>
  <fonts count="70"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39997558519241921"/>
      <name val="Calibri"/>
      <family val="2"/>
      <scheme val="minor"/>
    </font>
    <font>
      <sz val="11"/>
      <name val="Calibri"/>
      <family val="2"/>
      <scheme val="minor"/>
    </font>
    <font>
      <u/>
      <sz val="10"/>
      <color indexed="12"/>
      <name val="Arial"/>
      <family val="2"/>
    </font>
    <font>
      <b/>
      <sz val="8"/>
      <color indexed="81"/>
      <name val="Tahoma"/>
      <family val="2"/>
    </font>
    <font>
      <sz val="8"/>
      <color indexed="81"/>
      <name val="Tahoma"/>
      <family val="2"/>
    </font>
    <font>
      <b/>
      <u/>
      <sz val="11"/>
      <color theme="1"/>
      <name val="Calibri"/>
      <family val="2"/>
      <scheme val="minor"/>
    </font>
    <font>
      <b/>
      <sz val="11"/>
      <name val="Calibri"/>
      <family val="2"/>
      <scheme val="minor"/>
    </font>
    <font>
      <i/>
      <sz val="11"/>
      <color theme="1"/>
      <name val="Calibri"/>
      <family val="2"/>
      <scheme val="minor"/>
    </font>
    <font>
      <sz val="10"/>
      <color theme="1"/>
      <name val="Calibri"/>
      <family val="2"/>
      <scheme val="minor"/>
    </font>
    <font>
      <sz val="11"/>
      <color rgb="FFFF0000"/>
      <name val="Calibri"/>
      <family val="2"/>
      <scheme val="minor"/>
    </font>
    <font>
      <sz val="10"/>
      <name val="Calibri"/>
      <family val="2"/>
      <scheme val="minor"/>
    </font>
    <font>
      <b/>
      <sz val="10"/>
      <name val="Calibri"/>
      <family val="2"/>
      <scheme val="minor"/>
    </font>
    <font>
      <b/>
      <u/>
      <sz val="11"/>
      <name val="Calibri"/>
      <family val="2"/>
      <scheme val="minor"/>
    </font>
    <font>
      <b/>
      <sz val="10"/>
      <color theme="1"/>
      <name val="Calibri"/>
      <family val="2"/>
      <scheme val="minor"/>
    </font>
    <font>
      <i/>
      <sz val="9"/>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sz val="9"/>
      <name val="Calibri"/>
      <family val="2"/>
      <scheme val="minor"/>
    </font>
    <font>
      <b/>
      <sz val="9"/>
      <name val="Calibri"/>
      <family val="2"/>
      <scheme val="minor"/>
    </font>
    <font>
      <b/>
      <sz val="9"/>
      <color theme="1"/>
      <name val="Calibri"/>
      <family val="2"/>
      <scheme val="minor"/>
    </font>
    <font>
      <b/>
      <sz val="16"/>
      <color theme="1"/>
      <name val="Calibri"/>
      <family val="2"/>
      <scheme val="minor"/>
    </font>
    <font>
      <sz val="16"/>
      <color theme="1"/>
      <name val="Calibri"/>
      <family val="2"/>
      <scheme val="minor"/>
    </font>
    <font>
      <i/>
      <vertAlign val="superscript"/>
      <sz val="9"/>
      <color theme="1"/>
      <name val="Calibri"/>
      <family val="2"/>
      <scheme val="minor"/>
    </font>
    <font>
      <b/>
      <i/>
      <sz val="9"/>
      <color theme="1"/>
      <name val="Calibri"/>
      <family val="2"/>
      <scheme val="minor"/>
    </font>
    <font>
      <i/>
      <sz val="8"/>
      <color theme="1"/>
      <name val="Calibri"/>
      <family val="2"/>
      <scheme val="minor"/>
    </font>
    <font>
      <vertAlign val="superscript"/>
      <sz val="10"/>
      <name val="Calibri"/>
      <family val="2"/>
      <scheme val="minor"/>
    </font>
    <font>
      <u/>
      <sz val="11"/>
      <color theme="4" tint="0.39997558519241921"/>
      <name val="Calibri"/>
      <family val="2"/>
      <scheme val="minor"/>
    </font>
    <font>
      <u/>
      <sz val="11"/>
      <name val="Calibri"/>
      <family val="2"/>
      <scheme val="minor"/>
    </font>
    <font>
      <u/>
      <sz val="11"/>
      <color theme="1"/>
      <name val="Calibri"/>
      <family val="2"/>
      <scheme val="minor"/>
    </font>
    <font>
      <u/>
      <sz val="11"/>
      <color theme="5" tint="-0.249977111117893"/>
      <name val="Calibri"/>
      <family val="2"/>
      <scheme val="minor"/>
    </font>
    <font>
      <b/>
      <u/>
      <sz val="10"/>
      <color theme="1"/>
      <name val="Calibri"/>
      <family val="2"/>
      <scheme val="minor"/>
    </font>
    <font>
      <u/>
      <sz val="10"/>
      <color theme="1"/>
      <name val="Calibri"/>
      <family val="2"/>
      <scheme val="minor"/>
    </font>
    <font>
      <b/>
      <sz val="14"/>
      <color theme="1"/>
      <name val="Calibri"/>
      <family val="2"/>
      <scheme val="minor"/>
    </font>
    <font>
      <i/>
      <sz val="10"/>
      <color theme="0" tint="-0.499984740745262"/>
      <name val="Calibri"/>
      <family val="2"/>
      <scheme val="minor"/>
    </font>
    <font>
      <i/>
      <vertAlign val="superscript"/>
      <sz val="10"/>
      <color theme="0" tint="-0.499984740745262"/>
      <name val="Calibri"/>
      <family val="2"/>
      <scheme val="minor"/>
    </font>
    <font>
      <i/>
      <sz val="9"/>
      <color theme="0" tint="-0.499984740745262"/>
      <name val="Calibri"/>
      <family val="2"/>
      <scheme val="minor"/>
    </font>
    <font>
      <i/>
      <sz val="11"/>
      <color theme="3" tint="0.39997558519241921"/>
      <name val="Calibri"/>
      <family val="2"/>
      <scheme val="minor"/>
    </font>
    <font>
      <i/>
      <sz val="11"/>
      <color theme="0" tint="-0.499984740745262"/>
      <name val="Calibri"/>
      <family val="2"/>
      <scheme val="minor"/>
    </font>
    <font>
      <b/>
      <i/>
      <sz val="11"/>
      <color theme="0" tint="-0.499984740745262"/>
      <name val="Calibri"/>
      <family val="2"/>
      <scheme val="minor"/>
    </font>
    <font>
      <u/>
      <sz val="12"/>
      <color indexed="12"/>
      <name val="Calibri"/>
      <family val="2"/>
      <scheme val="minor"/>
    </font>
    <font>
      <u/>
      <sz val="11"/>
      <color indexed="12"/>
      <name val="Calibri"/>
      <family val="2"/>
      <scheme val="minor"/>
    </font>
    <font>
      <u/>
      <sz val="11"/>
      <color theme="3" tint="0.39997558519241921"/>
      <name val="Calibri"/>
      <family val="2"/>
      <scheme val="minor"/>
    </font>
    <font>
      <sz val="10"/>
      <color rgb="FF0070C0"/>
      <name val="Calibri"/>
      <family val="2"/>
      <scheme val="minor"/>
    </font>
    <font>
      <b/>
      <sz val="10"/>
      <color rgb="FF0070C0"/>
      <name val="Calibri"/>
      <family val="2"/>
      <scheme val="minor"/>
    </font>
    <font>
      <i/>
      <sz val="8"/>
      <color rgb="FF0070C0"/>
      <name val="Calibri"/>
      <family val="2"/>
      <scheme val="minor"/>
    </font>
    <font>
      <sz val="11"/>
      <color rgb="FF0070C0"/>
      <name val="Calibri"/>
      <family val="2"/>
      <scheme val="minor"/>
    </font>
    <font>
      <sz val="9"/>
      <color indexed="81"/>
      <name val="Tahoma"/>
      <family val="2"/>
    </font>
    <font>
      <b/>
      <sz val="9"/>
      <color indexed="81"/>
      <name val="Tahoma"/>
      <family val="2"/>
    </font>
    <font>
      <sz val="9"/>
      <color rgb="FF0070C0"/>
      <name val="Calibri"/>
      <family val="2"/>
      <scheme val="minor"/>
    </font>
    <font>
      <i/>
      <sz val="9"/>
      <name val="Calibri"/>
      <family val="2"/>
      <scheme val="minor"/>
    </font>
    <font>
      <i/>
      <vertAlign val="superscript"/>
      <sz val="9"/>
      <name val="Calibri"/>
      <family val="2"/>
      <scheme val="minor"/>
    </font>
    <font>
      <b/>
      <sz val="9"/>
      <color theme="4" tint="-0.249977111117893"/>
      <name val="Calibri"/>
      <family val="2"/>
      <scheme val="minor"/>
    </font>
    <font>
      <i/>
      <sz val="36"/>
      <color theme="1"/>
      <name val="Calibri"/>
      <family val="2"/>
      <scheme val="minor"/>
    </font>
    <font>
      <sz val="11"/>
      <color theme="5" tint="-0.249977111117893"/>
      <name val="Calibri"/>
      <family val="2"/>
      <scheme val="minor"/>
    </font>
    <font>
      <i/>
      <sz val="11"/>
      <color theme="5" tint="-0.249977111117893"/>
      <name val="Calibri"/>
      <family val="2"/>
      <scheme val="minor"/>
    </font>
    <font>
      <i/>
      <sz val="11"/>
      <color rgb="FFFF0000"/>
      <name val="Calibri"/>
      <family val="2"/>
      <scheme val="minor"/>
    </font>
    <font>
      <sz val="14"/>
      <color theme="1"/>
      <name val="Calibri"/>
      <family val="2"/>
      <scheme val="minor"/>
    </font>
    <font>
      <b/>
      <i/>
      <sz val="10"/>
      <color theme="0" tint="-0.499984740745262"/>
      <name val="Calibri"/>
      <family val="2"/>
      <scheme val="minor"/>
    </font>
    <font>
      <vertAlign val="superscript"/>
      <sz val="10"/>
      <color theme="1"/>
      <name val="Calibri"/>
      <family val="2"/>
      <scheme val="minor"/>
    </font>
    <font>
      <i/>
      <sz val="10"/>
      <color rgb="FF0070C0"/>
      <name val="Calibri"/>
      <family val="2"/>
      <scheme val="minor"/>
    </font>
    <font>
      <i/>
      <sz val="11"/>
      <color rgb="FF0070C0"/>
      <name val="Calibri"/>
      <family val="2"/>
      <scheme val="minor"/>
    </font>
    <font>
      <b/>
      <sz val="14"/>
      <color rgb="FF0070C0"/>
      <name val="Calibri"/>
      <family val="2"/>
      <scheme val="minor"/>
    </font>
    <font>
      <i/>
      <sz val="24"/>
      <color theme="1"/>
      <name val="Calibri"/>
      <family val="2"/>
      <scheme val="minor"/>
    </font>
    <font>
      <b/>
      <sz val="8"/>
      <color theme="1"/>
      <name val="Calibri"/>
      <family val="2"/>
      <scheme val="minor"/>
    </font>
    <font>
      <u/>
      <sz val="8"/>
      <color indexed="12"/>
      <name val="Calibri"/>
      <family val="2"/>
      <scheme val="minor"/>
    </font>
    <font>
      <sz val="8"/>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ck">
        <color indexed="64"/>
      </left>
      <right style="thick">
        <color indexed="64"/>
      </right>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
      <left/>
      <right/>
      <top/>
      <bottom style="thick">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460">
    <xf numFmtId="0" fontId="0" fillId="0" borderId="0" xfId="0"/>
    <xf numFmtId="0" fontId="0" fillId="0" borderId="0" xfId="0" applyAlignment="1">
      <alignment horizontal="center"/>
    </xf>
    <xf numFmtId="0" fontId="0" fillId="0" borderId="0" xfId="0" applyFont="1"/>
    <xf numFmtId="0" fontId="0" fillId="0" borderId="0" xfId="0" applyAlignment="1"/>
    <xf numFmtId="0" fontId="13" fillId="0" borderId="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4" borderId="1" xfId="0" applyFont="1" applyFill="1" applyBorder="1" applyAlignment="1">
      <alignment horizontal="center" vertical="center"/>
    </xf>
    <xf numFmtId="0" fontId="13" fillId="0" borderId="0" xfId="0" applyFont="1" applyFill="1" applyBorder="1" applyAlignment="1">
      <alignment horizontal="center" vertical="center"/>
    </xf>
    <xf numFmtId="0" fontId="21" fillId="3"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0" xfId="0" applyFont="1" applyFill="1" applyBorder="1" applyAlignment="1">
      <alignment horizontal="center" vertical="center"/>
    </xf>
    <xf numFmtId="0" fontId="22" fillId="7" borderId="13" xfId="0" applyFont="1" applyFill="1" applyBorder="1" applyAlignment="1">
      <alignment horizontal="center" vertical="center"/>
    </xf>
    <xf numFmtId="0" fontId="21"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1" fillId="4" borderId="1" xfId="0" applyFont="1" applyFill="1" applyBorder="1" applyAlignment="1">
      <alignment horizontal="center" vertical="center"/>
    </xf>
    <xf numFmtId="0" fontId="14" fillId="0" borderId="1" xfId="0" applyFont="1" applyFill="1" applyBorder="1" applyAlignment="1">
      <alignment horizontal="left" vertical="center"/>
    </xf>
    <xf numFmtId="165" fontId="16" fillId="0" borderId="1" xfId="3" applyNumberFormat="1" applyFont="1" applyBorder="1" applyAlignment="1">
      <alignment horizontal="center" vertical="center"/>
    </xf>
    <xf numFmtId="165" fontId="16" fillId="0" borderId="1" xfId="3" applyNumberFormat="1" applyFont="1" applyBorder="1" applyAlignment="1">
      <alignment vertical="center"/>
    </xf>
    <xf numFmtId="0" fontId="14" fillId="0" borderId="11" xfId="0" applyFont="1" applyFill="1" applyBorder="1" applyAlignment="1">
      <alignment horizontal="left" vertical="center"/>
    </xf>
    <xf numFmtId="165" fontId="16" fillId="0" borderId="11" xfId="3" applyNumberFormat="1" applyFont="1" applyBorder="1" applyAlignment="1">
      <alignment horizontal="center" vertical="center"/>
    </xf>
    <xf numFmtId="165" fontId="16" fillId="0" borderId="11" xfId="3" applyNumberFormat="1" applyFont="1" applyBorder="1" applyAlignment="1">
      <alignment vertical="center"/>
    </xf>
    <xf numFmtId="165" fontId="11" fillId="3" borderId="1" xfId="3" applyNumberFormat="1" applyFont="1" applyFill="1" applyBorder="1" applyAlignment="1">
      <alignment horizontal="center" vertical="center"/>
    </xf>
    <xf numFmtId="165" fontId="11" fillId="3" borderId="1" xfId="3" applyNumberFormat="1" applyFont="1" applyFill="1" applyBorder="1" applyAlignment="1">
      <alignment vertical="center"/>
    </xf>
    <xf numFmtId="165" fontId="11" fillId="0" borderId="1" xfId="3" applyNumberFormat="1" applyFont="1" applyBorder="1" applyAlignment="1">
      <alignment horizontal="center" vertical="center"/>
    </xf>
    <xf numFmtId="165" fontId="11" fillId="0" borderId="1" xfId="3" applyNumberFormat="1" applyFont="1" applyBorder="1" applyAlignment="1">
      <alignment vertical="center"/>
    </xf>
    <xf numFmtId="165" fontId="11" fillId="0" borderId="10" xfId="3" applyNumberFormat="1" applyFont="1" applyBorder="1" applyAlignment="1">
      <alignment horizontal="center" vertical="center"/>
    </xf>
    <xf numFmtId="165" fontId="11" fillId="0" borderId="10" xfId="3" applyNumberFormat="1" applyFont="1" applyBorder="1" applyAlignment="1">
      <alignment vertical="center"/>
    </xf>
    <xf numFmtId="0" fontId="14" fillId="7" borderId="12" xfId="0" applyFont="1" applyFill="1" applyBorder="1" applyAlignment="1">
      <alignment horizontal="center" vertical="center"/>
    </xf>
    <xf numFmtId="165" fontId="16" fillId="7" borderId="13" xfId="3" applyNumberFormat="1" applyFont="1" applyFill="1" applyBorder="1" applyAlignment="1">
      <alignment horizontal="center" vertical="center"/>
    </xf>
    <xf numFmtId="165" fontId="16" fillId="7" borderId="13" xfId="3" applyNumberFormat="1" applyFont="1" applyFill="1" applyBorder="1" applyAlignment="1">
      <alignment vertical="center"/>
    </xf>
    <xf numFmtId="165" fontId="11" fillId="0" borderId="11" xfId="3" applyNumberFormat="1" applyFont="1" applyBorder="1" applyAlignment="1">
      <alignment horizontal="center" vertical="center"/>
    </xf>
    <xf numFmtId="165" fontId="11" fillId="0" borderId="11" xfId="3" applyNumberFormat="1" applyFont="1" applyBorder="1" applyAlignment="1">
      <alignment vertical="center"/>
    </xf>
    <xf numFmtId="0" fontId="14" fillId="0" borderId="12" xfId="0" applyFont="1" applyFill="1" applyBorder="1" applyAlignment="1">
      <alignment horizontal="center" vertical="center"/>
    </xf>
    <xf numFmtId="165" fontId="16" fillId="0" borderId="13" xfId="3" applyNumberFormat="1" applyFont="1" applyBorder="1" applyAlignment="1">
      <alignment horizontal="center" vertical="center"/>
    </xf>
    <xf numFmtId="165" fontId="16" fillId="0" borderId="13" xfId="3" applyNumberFormat="1" applyFont="1" applyBorder="1" applyAlignment="1">
      <alignment vertical="center"/>
    </xf>
    <xf numFmtId="165" fontId="11" fillId="4" borderId="1" xfId="3" applyNumberFormat="1" applyFont="1" applyFill="1" applyBorder="1" applyAlignment="1">
      <alignment horizontal="center" vertical="center"/>
    </xf>
    <xf numFmtId="165" fontId="11" fillId="4" borderId="1" xfId="3" applyNumberFormat="1" applyFont="1" applyFill="1" applyBorder="1" applyAlignment="1">
      <alignment vertical="center"/>
    </xf>
    <xf numFmtId="0" fontId="25" fillId="0" borderId="0" xfId="0" applyFont="1"/>
    <xf numFmtId="166" fontId="18" fillId="0" borderId="1" xfId="0" applyNumberFormat="1" applyFont="1" applyBorder="1" applyAlignment="1">
      <alignment horizontal="center" vertical="center"/>
    </xf>
    <xf numFmtId="0" fontId="20" fillId="0" borderId="0" xfId="0" applyFont="1"/>
    <xf numFmtId="0" fontId="21" fillId="0" borderId="0" xfId="0" applyFont="1" applyFill="1" applyBorder="1" applyAlignment="1">
      <alignment horizontal="center" vertical="center"/>
    </xf>
    <xf numFmtId="0" fontId="0" fillId="0" borderId="0" xfId="0" applyBorder="1"/>
    <xf numFmtId="44" fontId="11" fillId="0" borderId="0" xfId="2" applyNumberFormat="1" applyFont="1" applyFill="1" applyBorder="1" applyAlignment="1">
      <alignment vertical="center"/>
    </xf>
    <xf numFmtId="164" fontId="11" fillId="0" borderId="0" xfId="1" applyNumberFormat="1" applyFont="1" applyFill="1" applyBorder="1" applyAlignment="1">
      <alignment vertical="center"/>
    </xf>
    <xf numFmtId="165" fontId="11" fillId="0" borderId="0" xfId="3" applyNumberFormat="1" applyFont="1" applyFill="1" applyBorder="1" applyAlignment="1">
      <alignment horizontal="center" vertical="center"/>
    </xf>
    <xf numFmtId="44" fontId="13" fillId="0" borderId="0" xfId="2" applyFont="1" applyFill="1" applyBorder="1" applyAlignment="1">
      <alignment vertical="center"/>
    </xf>
    <xf numFmtId="165" fontId="11" fillId="0" borderId="0" xfId="3" applyNumberFormat="1" applyFont="1" applyFill="1" applyBorder="1" applyAlignment="1">
      <alignment vertical="center"/>
    </xf>
    <xf numFmtId="167" fontId="11" fillId="0" borderId="0" xfId="2" applyNumberFormat="1" applyFont="1" applyFill="1" applyBorder="1" applyAlignment="1">
      <alignment vertical="center"/>
    </xf>
    <xf numFmtId="44" fontId="16" fillId="0" borderId="1" xfId="0" applyNumberFormat="1" applyFont="1" applyBorder="1" applyAlignment="1">
      <alignment vertical="center"/>
    </xf>
    <xf numFmtId="0" fontId="16" fillId="0" borderId="11" xfId="0" applyFont="1" applyBorder="1" applyAlignment="1">
      <alignment vertical="center"/>
    </xf>
    <xf numFmtId="44" fontId="16" fillId="0" borderId="11" xfId="0" applyNumberFormat="1" applyFont="1" applyBorder="1" applyAlignment="1">
      <alignment vertical="center"/>
    </xf>
    <xf numFmtId="0" fontId="16" fillId="0" borderId="1" xfId="0" applyFont="1" applyBorder="1" applyAlignment="1">
      <alignment vertical="center"/>
    </xf>
    <xf numFmtId="0" fontId="20" fillId="0" borderId="0" xfId="0" applyFont="1" applyAlignment="1">
      <alignment vertical="center"/>
    </xf>
    <xf numFmtId="0" fontId="23" fillId="0" borderId="0" xfId="0" applyFont="1" applyAlignment="1">
      <alignment vertical="center"/>
    </xf>
    <xf numFmtId="0" fontId="20" fillId="0" borderId="0" xfId="0" applyFont="1" applyAlignment="1">
      <alignment horizontal="center" vertical="center"/>
    </xf>
    <xf numFmtId="0" fontId="17" fillId="0" borderId="0" xfId="0" applyFont="1" applyAlignment="1">
      <alignment vertical="center"/>
    </xf>
    <xf numFmtId="0" fontId="27" fillId="0" borderId="0" xfId="0" applyFont="1" applyAlignment="1">
      <alignment vertical="center"/>
    </xf>
    <xf numFmtId="10" fontId="28" fillId="2" borderId="7" xfId="3" applyNumberFormat="1" applyFont="1" applyFill="1" applyBorder="1" applyAlignment="1">
      <alignment horizontal="center" vertical="center"/>
    </xf>
    <xf numFmtId="167" fontId="14" fillId="0" borderId="14" xfId="2" applyNumberFormat="1" applyFont="1" applyBorder="1" applyAlignment="1">
      <alignment vertical="center"/>
    </xf>
    <xf numFmtId="167" fontId="14" fillId="0" borderId="7" xfId="2" applyNumberFormat="1" applyFont="1" applyBorder="1" applyAlignment="1">
      <alignment vertical="center"/>
    </xf>
    <xf numFmtId="0" fontId="13"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1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65" fontId="11" fillId="0" borderId="1" xfId="3" applyNumberFormat="1" applyFont="1" applyFill="1" applyBorder="1" applyAlignment="1">
      <alignment horizontal="center" vertical="center"/>
    </xf>
    <xf numFmtId="165" fontId="11" fillId="0" borderId="1" xfId="3" applyNumberFormat="1" applyFont="1" applyFill="1" applyBorder="1" applyAlignment="1">
      <alignment vertical="center"/>
    </xf>
    <xf numFmtId="0" fontId="8" fillId="0" borderId="1" xfId="0" applyFont="1" applyBorder="1" applyAlignment="1">
      <alignment horizontal="center" wrapText="1"/>
    </xf>
    <xf numFmtId="0" fontId="32" fillId="0" borderId="1" xfId="0" applyFont="1" applyBorder="1" applyAlignment="1">
      <alignment horizontal="center" wrapText="1"/>
    </xf>
    <xf numFmtId="167" fontId="13" fillId="0" borderId="15" xfId="2" applyNumberFormat="1" applyFont="1" applyFill="1" applyBorder="1" applyAlignment="1">
      <alignment vertical="center"/>
    </xf>
    <xf numFmtId="167" fontId="16" fillId="0" borderId="11" xfId="0" applyNumberFormat="1" applyFont="1" applyBorder="1" applyAlignment="1">
      <alignment vertical="center"/>
    </xf>
    <xf numFmtId="167" fontId="16" fillId="0" borderId="1" xfId="0" applyNumberFormat="1" applyFont="1" applyBorder="1" applyAlignment="1">
      <alignment vertical="center"/>
    </xf>
    <xf numFmtId="0" fontId="16" fillId="0" borderId="1" xfId="0" applyFont="1" applyBorder="1" applyAlignment="1">
      <alignment horizontal="center" vertical="center"/>
    </xf>
    <xf numFmtId="164" fontId="11" fillId="0" borderId="1" xfId="1" applyNumberFormat="1" applyFont="1" applyFill="1" applyBorder="1" applyAlignment="1">
      <alignment horizontal="center" vertical="center"/>
    </xf>
    <xf numFmtId="164" fontId="11" fillId="3" borderId="1" xfId="1" applyNumberFormat="1" applyFont="1" applyFill="1" applyBorder="1" applyAlignment="1">
      <alignment horizontal="center" vertical="center"/>
    </xf>
    <xf numFmtId="164" fontId="11" fillId="0" borderId="1" xfId="1" applyNumberFormat="1" applyFont="1" applyBorder="1" applyAlignment="1">
      <alignment horizontal="center" vertical="center"/>
    </xf>
    <xf numFmtId="164" fontId="11" fillId="0" borderId="10" xfId="1" applyNumberFormat="1" applyFont="1" applyBorder="1" applyAlignment="1">
      <alignment horizontal="center" vertical="center"/>
    </xf>
    <xf numFmtId="164" fontId="16" fillId="7" borderId="13" xfId="1" applyNumberFormat="1" applyFont="1" applyFill="1" applyBorder="1" applyAlignment="1">
      <alignment horizontal="center" vertical="center"/>
    </xf>
    <xf numFmtId="164" fontId="11" fillId="0" borderId="11" xfId="1" applyNumberFormat="1" applyFont="1" applyBorder="1" applyAlignment="1">
      <alignment horizontal="center" vertical="center"/>
    </xf>
    <xf numFmtId="164" fontId="16" fillId="0" borderId="13" xfId="1" applyNumberFormat="1" applyFont="1" applyBorder="1" applyAlignment="1">
      <alignment horizontal="center" vertical="center"/>
    </xf>
    <xf numFmtId="164" fontId="11" fillId="4" borderId="1" xfId="1" applyNumberFormat="1" applyFont="1" applyFill="1" applyBorder="1" applyAlignment="1">
      <alignment horizontal="center" vertical="center"/>
    </xf>
    <xf numFmtId="164" fontId="16" fillId="0" borderId="11" xfId="1" applyNumberFormat="1" applyFont="1" applyBorder="1" applyAlignment="1">
      <alignment horizontal="center" vertical="center"/>
    </xf>
    <xf numFmtId="164" fontId="16" fillId="0" borderId="1" xfId="1" applyNumberFormat="1" applyFont="1" applyBorder="1" applyAlignment="1">
      <alignment horizontal="center" vertical="center"/>
    </xf>
    <xf numFmtId="0" fontId="16" fillId="0" borderId="15" xfId="0" applyFont="1" applyBorder="1" applyAlignment="1">
      <alignment horizontal="center" vertical="center"/>
    </xf>
    <xf numFmtId="10" fontId="16" fillId="0" borderId="11" xfId="3" applyNumberFormat="1" applyFont="1" applyBorder="1" applyAlignment="1">
      <alignment horizontal="center" vertical="center"/>
    </xf>
    <xf numFmtId="10" fontId="16" fillId="0" borderId="1" xfId="3" applyNumberFormat="1" applyFont="1" applyBorder="1" applyAlignment="1">
      <alignment horizontal="center" vertical="center"/>
    </xf>
    <xf numFmtId="167" fontId="0" fillId="0" borderId="0" xfId="0" applyNumberFormat="1"/>
    <xf numFmtId="44" fontId="46" fillId="0" borderId="1" xfId="2" applyNumberFormat="1" applyFont="1" applyFill="1" applyBorder="1" applyAlignment="1">
      <alignment vertical="center"/>
    </xf>
    <xf numFmtId="165" fontId="46" fillId="0" borderId="1" xfId="3" applyNumberFormat="1" applyFont="1" applyFill="1" applyBorder="1" applyAlignment="1">
      <alignment horizontal="center" vertical="center"/>
    </xf>
    <xf numFmtId="44" fontId="46" fillId="3" borderId="1" xfId="2" applyNumberFormat="1" applyFont="1" applyFill="1" applyBorder="1" applyAlignment="1">
      <alignment vertical="center"/>
    </xf>
    <xf numFmtId="165" fontId="46" fillId="3" borderId="1" xfId="3" applyNumberFormat="1" applyFont="1" applyFill="1" applyBorder="1" applyAlignment="1">
      <alignment horizontal="center" vertical="center"/>
    </xf>
    <xf numFmtId="44" fontId="46" fillId="0" borderId="1" xfId="2" applyNumberFormat="1" applyFont="1" applyBorder="1" applyAlignment="1">
      <alignment vertical="center"/>
    </xf>
    <xf numFmtId="165" fontId="46" fillId="0" borderId="1" xfId="3" applyNumberFormat="1" applyFont="1" applyBorder="1" applyAlignment="1">
      <alignment horizontal="center" vertical="center"/>
    </xf>
    <xf numFmtId="44" fontId="46" fillId="0" borderId="10" xfId="2" applyNumberFormat="1" applyFont="1" applyBorder="1" applyAlignment="1">
      <alignment vertical="center"/>
    </xf>
    <xf numFmtId="165" fontId="46" fillId="0" borderId="10" xfId="3" applyNumberFormat="1" applyFont="1" applyBorder="1" applyAlignment="1">
      <alignment horizontal="center" vertical="center"/>
    </xf>
    <xf numFmtId="44" fontId="47" fillId="7" borderId="13" xfId="2" applyNumberFormat="1" applyFont="1" applyFill="1" applyBorder="1" applyAlignment="1">
      <alignment vertical="center"/>
    </xf>
    <xf numFmtId="165" fontId="47" fillId="7" borderId="13" xfId="3" applyNumberFormat="1" applyFont="1" applyFill="1" applyBorder="1" applyAlignment="1">
      <alignment horizontal="center" vertical="center"/>
    </xf>
    <xf numFmtId="44" fontId="46" fillId="0" borderId="11" xfId="2" applyNumberFormat="1" applyFont="1" applyBorder="1" applyAlignment="1">
      <alignment vertical="center"/>
    </xf>
    <xf numFmtId="165" fontId="46" fillId="0" borderId="11" xfId="3" applyNumberFormat="1" applyFont="1" applyBorder="1" applyAlignment="1">
      <alignment horizontal="center" vertical="center"/>
    </xf>
    <xf numFmtId="44" fontId="47" fillId="0" borderId="13" xfId="2" applyNumberFormat="1" applyFont="1" applyBorder="1" applyAlignment="1">
      <alignment vertical="center"/>
    </xf>
    <xf numFmtId="165" fontId="47" fillId="0" borderId="13" xfId="3" applyNumberFormat="1" applyFont="1" applyBorder="1" applyAlignment="1">
      <alignment horizontal="center" vertical="center"/>
    </xf>
    <xf numFmtId="44" fontId="46" fillId="4" borderId="1" xfId="2" applyNumberFormat="1" applyFont="1" applyFill="1" applyBorder="1" applyAlignment="1">
      <alignment vertical="center"/>
    </xf>
    <xf numFmtId="165" fontId="46" fillId="4" borderId="1" xfId="3" applyNumberFormat="1" applyFont="1" applyFill="1" applyBorder="1" applyAlignment="1">
      <alignment horizontal="center" vertical="center"/>
    </xf>
    <xf numFmtId="10" fontId="48" fillId="2" borderId="7" xfId="3" applyNumberFormat="1" applyFont="1" applyFill="1" applyBorder="1" applyAlignment="1">
      <alignment horizontal="center" vertical="center"/>
    </xf>
    <xf numFmtId="167" fontId="13" fillId="0" borderId="1" xfId="2" applyNumberFormat="1" applyFont="1" applyFill="1" applyBorder="1" applyAlignment="1">
      <alignment vertical="center"/>
    </xf>
    <xf numFmtId="167" fontId="14" fillId="7" borderId="13" xfId="2" applyNumberFormat="1" applyFont="1" applyFill="1" applyBorder="1" applyAlignment="1">
      <alignment vertical="center"/>
    </xf>
    <xf numFmtId="167" fontId="13" fillId="0" borderId="11" xfId="2" applyNumberFormat="1" applyFont="1" applyBorder="1" applyAlignment="1">
      <alignment vertical="center"/>
    </xf>
    <xf numFmtId="167" fontId="13" fillId="0" borderId="10" xfId="2" applyNumberFormat="1" applyFont="1" applyBorder="1" applyAlignment="1">
      <alignment vertical="center"/>
    </xf>
    <xf numFmtId="167" fontId="14" fillId="0" borderId="13" xfId="2" applyNumberFormat="1" applyFont="1" applyBorder="1" applyAlignment="1">
      <alignment vertical="center"/>
    </xf>
    <xf numFmtId="167" fontId="13" fillId="0" borderId="1" xfId="2" applyNumberFormat="1" applyFont="1" applyBorder="1" applyAlignment="1">
      <alignment vertical="center"/>
    </xf>
    <xf numFmtId="167" fontId="13" fillId="4" borderId="1" xfId="2" applyNumberFormat="1" applyFont="1" applyFill="1" applyBorder="1" applyAlignment="1">
      <alignment vertical="center"/>
    </xf>
    <xf numFmtId="167" fontId="46" fillId="0" borderId="14" xfId="2" applyNumberFormat="1" applyFont="1" applyFill="1" applyBorder="1" applyAlignment="1">
      <alignment vertical="center"/>
    </xf>
    <xf numFmtId="167" fontId="46" fillId="3" borderId="14" xfId="2" applyNumberFormat="1" applyFont="1" applyFill="1" applyBorder="1" applyAlignment="1">
      <alignment vertical="center"/>
    </xf>
    <xf numFmtId="167" fontId="46" fillId="3" borderId="4" xfId="2" applyNumberFormat="1" applyFont="1" applyFill="1" applyBorder="1" applyAlignment="1">
      <alignment vertical="center"/>
    </xf>
    <xf numFmtId="167" fontId="47" fillId="7" borderId="17" xfId="2" applyNumberFormat="1" applyFont="1" applyFill="1" applyBorder="1" applyAlignment="1">
      <alignment vertical="center"/>
    </xf>
    <xf numFmtId="167" fontId="46" fillId="3" borderId="7" xfId="2" applyNumberFormat="1" applyFont="1" applyFill="1" applyBorder="1" applyAlignment="1">
      <alignment vertical="center"/>
    </xf>
    <xf numFmtId="167" fontId="47" fillId="3" borderId="13" xfId="2" applyNumberFormat="1" applyFont="1" applyFill="1" applyBorder="1" applyAlignment="1">
      <alignment vertical="center"/>
    </xf>
    <xf numFmtId="167" fontId="46" fillId="4" borderId="14" xfId="2" applyNumberFormat="1" applyFont="1" applyFill="1" applyBorder="1" applyAlignment="1">
      <alignment vertical="center"/>
    </xf>
    <xf numFmtId="167" fontId="46" fillId="3" borderId="1" xfId="2" applyNumberFormat="1" applyFont="1" applyFill="1" applyBorder="1" applyAlignment="1">
      <alignment vertical="center"/>
    </xf>
    <xf numFmtId="43" fontId="0" fillId="0" borderId="0" xfId="1" applyFont="1"/>
    <xf numFmtId="44" fontId="0" fillId="0" borderId="0" xfId="0" applyNumberFormat="1"/>
    <xf numFmtId="2" fontId="49" fillId="0" borderId="0" xfId="0" applyNumberFormat="1" applyFont="1"/>
    <xf numFmtId="0" fontId="16"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44" fontId="47" fillId="0" borderId="1" xfId="2" applyNumberFormat="1" applyFont="1" applyFill="1" applyBorder="1" applyAlignment="1">
      <alignment vertical="center"/>
    </xf>
    <xf numFmtId="165" fontId="16" fillId="0" borderId="1" xfId="3" applyNumberFormat="1" applyFont="1" applyFill="1" applyBorder="1" applyAlignment="1">
      <alignment horizontal="center" vertical="center"/>
    </xf>
    <xf numFmtId="165" fontId="47" fillId="0" borderId="1" xfId="3" applyNumberFormat="1" applyFont="1" applyFill="1" applyBorder="1" applyAlignment="1">
      <alignment horizontal="center" vertical="center"/>
    </xf>
    <xf numFmtId="164" fontId="16" fillId="0" borderId="1" xfId="1" applyNumberFormat="1" applyFont="1" applyFill="1" applyBorder="1" applyAlignment="1">
      <alignment horizontal="center" vertical="center"/>
    </xf>
    <xf numFmtId="167" fontId="14" fillId="0" borderId="1" xfId="2" applyNumberFormat="1" applyFont="1" applyFill="1" applyBorder="1" applyAlignment="1">
      <alignment vertical="center"/>
    </xf>
    <xf numFmtId="165" fontId="16" fillId="0" borderId="1" xfId="3" applyNumberFormat="1" applyFont="1" applyFill="1" applyBorder="1" applyAlignment="1">
      <alignment vertical="center"/>
    </xf>
    <xf numFmtId="167" fontId="47" fillId="0" borderId="14" xfId="2" applyNumberFormat="1" applyFont="1" applyFill="1" applyBorder="1" applyAlignment="1">
      <alignment vertical="center"/>
    </xf>
    <xf numFmtId="9" fontId="0" fillId="0" borderId="0" xfId="3" applyFont="1" applyAlignment="1"/>
    <xf numFmtId="9" fontId="0" fillId="0" borderId="0" xfId="3" applyFont="1"/>
    <xf numFmtId="0" fontId="19" fillId="0" borderId="0" xfId="0" applyFont="1" applyBorder="1" applyAlignment="1">
      <alignment horizontal="center" vertical="center" wrapText="1"/>
    </xf>
    <xf numFmtId="0" fontId="16" fillId="0" borderId="15" xfId="0" applyFont="1" applyBorder="1" applyAlignment="1">
      <alignment horizontal="center" vertical="center"/>
    </xf>
    <xf numFmtId="0" fontId="14" fillId="0" borderId="18" xfId="0" applyFont="1" applyFill="1" applyBorder="1" applyAlignment="1">
      <alignment horizontal="left" vertical="center"/>
    </xf>
    <xf numFmtId="0" fontId="14" fillId="0" borderId="18" xfId="0" applyFont="1" applyBorder="1" applyAlignment="1">
      <alignment vertical="center"/>
    </xf>
    <xf numFmtId="44" fontId="14" fillId="0" borderId="18" xfId="0" applyNumberFormat="1" applyFont="1" applyBorder="1" applyAlignment="1">
      <alignment vertical="center"/>
    </xf>
    <xf numFmtId="164" fontId="14" fillId="0" borderId="18" xfId="1" applyNumberFormat="1" applyFont="1" applyBorder="1" applyAlignment="1">
      <alignment horizontal="center" vertical="center"/>
    </xf>
    <xf numFmtId="165" fontId="14" fillId="0" borderId="18" xfId="3" applyNumberFormat="1" applyFont="1" applyBorder="1" applyAlignment="1">
      <alignment horizontal="center" vertical="center"/>
    </xf>
    <xf numFmtId="167" fontId="14" fillId="0" borderId="18" xfId="0" applyNumberFormat="1" applyFont="1" applyBorder="1" applyAlignment="1">
      <alignment vertical="center"/>
    </xf>
    <xf numFmtId="165" fontId="14" fillId="0" borderId="18" xfId="3" applyNumberFormat="1" applyFont="1" applyBorder="1" applyAlignment="1">
      <alignment vertical="center"/>
    </xf>
    <xf numFmtId="10" fontId="14" fillId="0" borderId="18" xfId="3" applyNumberFormat="1" applyFont="1" applyBorder="1" applyAlignment="1">
      <alignment horizontal="center" vertical="center"/>
    </xf>
    <xf numFmtId="44" fontId="13" fillId="0" borderId="15" xfId="2" applyNumberFormat="1" applyFont="1" applyFill="1" applyBorder="1" applyAlignment="1">
      <alignment vertical="center"/>
    </xf>
    <xf numFmtId="0" fontId="13" fillId="0" borderId="15" xfId="0" applyFont="1" applyFill="1" applyBorder="1" applyAlignment="1">
      <alignment horizontal="center" vertical="center"/>
    </xf>
    <xf numFmtId="164" fontId="13" fillId="0" borderId="15" xfId="1" applyNumberFormat="1" applyFont="1" applyFill="1" applyBorder="1" applyAlignment="1">
      <alignment horizontal="center" vertical="center"/>
    </xf>
    <xf numFmtId="165" fontId="13" fillId="0" borderId="15" xfId="3" applyNumberFormat="1" applyFont="1" applyFill="1" applyBorder="1" applyAlignment="1">
      <alignment horizontal="center" vertical="center"/>
    </xf>
    <xf numFmtId="165" fontId="13" fillId="0" borderId="15" xfId="3" applyNumberFormat="1" applyFont="1" applyFill="1" applyBorder="1" applyAlignment="1">
      <alignment vertical="center"/>
    </xf>
    <xf numFmtId="0" fontId="14" fillId="0" borderId="11" xfId="0" applyFont="1" applyFill="1" applyBorder="1" applyAlignment="1">
      <alignment vertical="center"/>
    </xf>
    <xf numFmtId="44" fontId="14" fillId="0" borderId="11" xfId="0" applyNumberFormat="1" applyFont="1" applyBorder="1" applyAlignment="1">
      <alignment vertical="center"/>
    </xf>
    <xf numFmtId="164" fontId="14" fillId="0" borderId="11" xfId="1" applyNumberFormat="1" applyFont="1" applyBorder="1" applyAlignment="1">
      <alignment horizontal="center" vertical="center"/>
    </xf>
    <xf numFmtId="165" fontId="14" fillId="0" borderId="11" xfId="3" applyNumberFormat="1" applyFont="1" applyBorder="1" applyAlignment="1">
      <alignment horizontal="center" vertical="center"/>
    </xf>
    <xf numFmtId="167" fontId="14" fillId="0" borderId="11" xfId="2" applyNumberFormat="1" applyFont="1" applyBorder="1" applyAlignment="1">
      <alignment vertical="center"/>
    </xf>
    <xf numFmtId="165" fontId="14" fillId="0" borderId="11" xfId="3" applyNumberFormat="1" applyFont="1" applyBorder="1" applyAlignment="1">
      <alignment vertical="center"/>
    </xf>
    <xf numFmtId="10" fontId="14" fillId="0" borderId="11" xfId="3" applyNumberFormat="1" applyFont="1" applyBorder="1" applyAlignment="1">
      <alignment horizontal="center" vertical="center"/>
    </xf>
    <xf numFmtId="0" fontId="14" fillId="0" borderId="1" xfId="0" applyFont="1" applyFill="1" applyBorder="1" applyAlignment="1">
      <alignment vertical="center"/>
    </xf>
    <xf numFmtId="44" fontId="14" fillId="0" borderId="1" xfId="0" applyNumberFormat="1" applyFont="1" applyBorder="1" applyAlignment="1">
      <alignment vertical="center"/>
    </xf>
    <xf numFmtId="164" fontId="14" fillId="0" borderId="1" xfId="1" applyNumberFormat="1" applyFont="1" applyBorder="1" applyAlignment="1">
      <alignment horizontal="center" vertical="center"/>
    </xf>
    <xf numFmtId="165" fontId="14" fillId="0" borderId="1" xfId="3" applyNumberFormat="1" applyFont="1" applyBorder="1" applyAlignment="1">
      <alignment horizontal="center" vertical="center"/>
    </xf>
    <xf numFmtId="167" fontId="14" fillId="0" borderId="1" xfId="2" applyNumberFormat="1" applyFont="1" applyBorder="1" applyAlignment="1">
      <alignment vertical="center"/>
    </xf>
    <xf numFmtId="165" fontId="14" fillId="0" borderId="1" xfId="3" applyNumberFormat="1" applyFont="1" applyBorder="1" applyAlignment="1">
      <alignment vertical="center"/>
    </xf>
    <xf numFmtId="10" fontId="14" fillId="0" borderId="1" xfId="3" applyNumberFormat="1" applyFont="1" applyBorder="1" applyAlignment="1">
      <alignment horizontal="center" vertical="center"/>
    </xf>
    <xf numFmtId="167" fontId="20" fillId="0" borderId="0" xfId="0" applyNumberFormat="1" applyFont="1" applyAlignment="1">
      <alignment vertical="center"/>
    </xf>
    <xf numFmtId="9" fontId="20" fillId="0" borderId="0" xfId="3" applyFont="1" applyAlignment="1">
      <alignment vertical="center"/>
    </xf>
    <xf numFmtId="0" fontId="44" fillId="0" borderId="0" xfId="4" applyFont="1" applyAlignment="1" applyProtection="1">
      <alignment wrapText="1"/>
    </xf>
    <xf numFmtId="0" fontId="0" fillId="0" borderId="0" xfId="0" applyFont="1" applyAlignment="1">
      <alignment horizontal="left" wrapText="1"/>
    </xf>
    <xf numFmtId="0" fontId="0" fillId="0" borderId="4" xfId="0" applyFont="1" applyBorder="1" applyAlignment="1">
      <alignment vertical="top"/>
    </xf>
    <xf numFmtId="0" fontId="0" fillId="0" borderId="2" xfId="0" applyFont="1" applyBorder="1" applyAlignment="1">
      <alignment horizontal="center" vertical="top"/>
    </xf>
    <xf numFmtId="0" fontId="4" fillId="0" borderId="2" xfId="0" applyFont="1" applyBorder="1" applyAlignment="1">
      <alignment horizontal="center" vertical="top"/>
    </xf>
    <xf numFmtId="0" fontId="4" fillId="0" borderId="10" xfId="0" applyFont="1" applyBorder="1" applyAlignment="1">
      <alignment horizontal="center" vertical="top"/>
    </xf>
    <xf numFmtId="0" fontId="2" fillId="5" borderId="8" xfId="0" applyFont="1" applyFill="1" applyBorder="1" applyAlignment="1">
      <alignment vertical="top"/>
    </xf>
    <xf numFmtId="0" fontId="2" fillId="5" borderId="8" xfId="0" applyFont="1" applyFill="1" applyBorder="1" applyAlignment="1">
      <alignment horizontal="center" vertical="top"/>
    </xf>
    <xf numFmtId="6" fontId="2" fillId="5" borderId="8" xfId="0" applyNumberFormat="1" applyFont="1" applyFill="1" applyBorder="1" applyAlignment="1">
      <alignment horizontal="center" vertical="top"/>
    </xf>
    <xf numFmtId="6" fontId="2" fillId="5" borderId="11" xfId="0" applyNumberFormat="1" applyFont="1" applyFill="1" applyBorder="1" applyAlignment="1">
      <alignment horizontal="center" vertical="top"/>
    </xf>
    <xf numFmtId="6" fontId="9" fillId="5" borderId="11" xfId="0" applyNumberFormat="1" applyFont="1" applyFill="1" applyBorder="1" applyAlignment="1">
      <alignment horizontal="center" vertical="top"/>
    </xf>
    <xf numFmtId="0" fontId="41" fillId="8" borderId="4" xfId="0" applyFont="1" applyFill="1" applyBorder="1" applyAlignment="1">
      <alignment vertical="top"/>
    </xf>
    <xf numFmtId="0" fontId="41" fillId="8" borderId="2" xfId="0" applyFont="1" applyFill="1" applyBorder="1" applyAlignment="1">
      <alignment horizontal="center" vertical="top"/>
    </xf>
    <xf numFmtId="0" fontId="41" fillId="8" borderId="10" xfId="0" applyFont="1" applyFill="1" applyBorder="1" applyAlignment="1">
      <alignment horizontal="center" vertical="top"/>
    </xf>
    <xf numFmtId="0" fontId="42" fillId="8" borderId="8" xfId="0" applyFont="1" applyFill="1" applyBorder="1" applyAlignment="1">
      <alignment horizontal="center" vertical="top"/>
    </xf>
    <xf numFmtId="6" fontId="42" fillId="8" borderId="8" xfId="0" applyNumberFormat="1" applyFont="1" applyFill="1" applyBorder="1" applyAlignment="1">
      <alignment horizontal="center" vertical="top"/>
    </xf>
    <xf numFmtId="6" fontId="42" fillId="8" borderId="11" xfId="0" applyNumberFormat="1" applyFont="1" applyFill="1" applyBorder="1" applyAlignment="1">
      <alignment horizontal="center" vertical="top"/>
    </xf>
    <xf numFmtId="0" fontId="0" fillId="0" borderId="18" xfId="0" applyFont="1" applyBorder="1" applyAlignment="1">
      <alignment horizontal="center" vertical="top"/>
    </xf>
    <xf numFmtId="0" fontId="0" fillId="0" borderId="10" xfId="0" applyFont="1" applyBorder="1" applyAlignment="1">
      <alignment horizontal="center" vertical="top"/>
    </xf>
    <xf numFmtId="8" fontId="3" fillId="0" borderId="5" xfId="0" applyNumberFormat="1" applyFont="1" applyFill="1" applyBorder="1" applyAlignment="1">
      <alignment horizontal="center" vertical="top"/>
    </xf>
    <xf numFmtId="0" fontId="2" fillId="5" borderId="7" xfId="0" applyFont="1" applyFill="1" applyBorder="1" applyAlignment="1">
      <alignment vertical="top"/>
    </xf>
    <xf numFmtId="6" fontId="9" fillId="5" borderId="9" xfId="0" applyNumberFormat="1" applyFont="1" applyFill="1" applyBorder="1" applyAlignment="1">
      <alignment horizontal="center" vertical="top"/>
    </xf>
    <xf numFmtId="0" fontId="0" fillId="5" borderId="8" xfId="0" applyFont="1" applyFill="1" applyBorder="1" applyAlignment="1">
      <alignment horizontal="center" vertical="top"/>
    </xf>
    <xf numFmtId="8" fontId="3" fillId="0" borderId="10" xfId="0" applyNumberFormat="1" applyFont="1" applyFill="1" applyBorder="1" applyAlignment="1">
      <alignment horizontal="center" vertical="top"/>
    </xf>
    <xf numFmtId="8" fontId="4" fillId="0" borderId="10" xfId="0" applyNumberFormat="1" applyFont="1" applyFill="1" applyBorder="1" applyAlignment="1">
      <alignment horizontal="center" vertical="top"/>
    </xf>
    <xf numFmtId="0" fontId="12" fillId="0" borderId="2" xfId="0" applyFont="1" applyBorder="1" applyAlignment="1">
      <alignment horizontal="center" vertical="top"/>
    </xf>
    <xf numFmtId="0" fontId="12" fillId="0" borderId="10" xfId="0" applyFont="1" applyBorder="1" applyAlignment="1">
      <alignment horizontal="center" vertical="top"/>
    </xf>
    <xf numFmtId="8" fontId="12" fillId="0" borderId="10" xfId="0" applyNumberFormat="1" applyFont="1" applyFill="1" applyBorder="1" applyAlignment="1">
      <alignment horizontal="center" vertical="top"/>
    </xf>
    <xf numFmtId="0" fontId="0" fillId="0" borderId="0" xfId="0" applyFont="1" applyBorder="1" applyAlignment="1">
      <alignment vertical="top"/>
    </xf>
    <xf numFmtId="0" fontId="0" fillId="0" borderId="0" xfId="0" applyFont="1" applyBorder="1" applyAlignment="1">
      <alignment horizontal="center" vertical="top"/>
    </xf>
    <xf numFmtId="8" fontId="0" fillId="0" borderId="0" xfId="0" applyNumberFormat="1" applyFont="1" applyBorder="1" applyAlignment="1">
      <alignment horizontal="center" vertical="top"/>
    </xf>
    <xf numFmtId="6" fontId="0" fillId="0" borderId="0" xfId="0" applyNumberFormat="1" applyFont="1" applyBorder="1" applyAlignment="1">
      <alignment horizontal="center" vertical="top"/>
    </xf>
    <xf numFmtId="6" fontId="0" fillId="0" borderId="18" xfId="0" applyNumberFormat="1" applyFont="1" applyBorder="1" applyAlignment="1">
      <alignment horizontal="center" vertical="top"/>
    </xf>
    <xf numFmtId="0" fontId="0" fillId="0" borderId="2" xfId="0" applyFont="1" applyBorder="1" applyAlignment="1">
      <alignment vertical="top"/>
    </xf>
    <xf numFmtId="0" fontId="10" fillId="0" borderId="3" xfId="0" applyFont="1" applyBorder="1" applyAlignment="1">
      <alignment vertical="top"/>
    </xf>
    <xf numFmtId="0" fontId="0" fillId="0" borderId="3" xfId="0" applyFont="1" applyBorder="1" applyAlignment="1">
      <alignment vertical="top"/>
    </xf>
    <xf numFmtId="0" fontId="4" fillId="0" borderId="2" xfId="0" quotePrefix="1" applyFont="1" applyBorder="1" applyAlignment="1">
      <alignment horizontal="center" vertical="top"/>
    </xf>
    <xf numFmtId="0" fontId="2" fillId="0" borderId="14" xfId="0" applyFont="1" applyBorder="1" applyAlignment="1">
      <alignment horizontal="center" wrapText="1"/>
    </xf>
    <xf numFmtId="0" fontId="2" fillId="0" borderId="15" xfId="0" applyFont="1" applyBorder="1" applyAlignment="1">
      <alignment horizontal="center" wrapText="1"/>
    </xf>
    <xf numFmtId="0" fontId="8" fillId="0" borderId="15" xfId="0" applyFont="1" applyBorder="1" applyAlignment="1">
      <alignment horizontal="center" wrapText="1"/>
    </xf>
    <xf numFmtId="8" fontId="40" fillId="8" borderId="5" xfId="0" applyNumberFormat="1" applyFont="1" applyFill="1" applyBorder="1" applyAlignment="1">
      <alignment horizontal="center" vertical="top"/>
    </xf>
    <xf numFmtId="6" fontId="9" fillId="5" borderId="8" xfId="0" applyNumberFormat="1" applyFont="1" applyFill="1" applyBorder="1" applyAlignment="1">
      <alignment horizontal="center" vertical="top"/>
    </xf>
    <xf numFmtId="8" fontId="4" fillId="0" borderId="0" xfId="0" applyNumberFormat="1" applyFont="1" applyBorder="1" applyAlignment="1">
      <alignment horizontal="center" vertical="top"/>
    </xf>
    <xf numFmtId="8" fontId="3" fillId="0" borderId="2" xfId="0" applyNumberFormat="1" applyFont="1" applyFill="1" applyBorder="1" applyAlignment="1">
      <alignment horizontal="center" vertical="top"/>
    </xf>
    <xf numFmtId="165" fontId="0" fillId="0" borderId="0" xfId="3" applyNumberFormat="1" applyFont="1"/>
    <xf numFmtId="167" fontId="0" fillId="0" borderId="0" xfId="2" applyNumberFormat="1" applyFont="1"/>
    <xf numFmtId="167" fontId="1" fillId="0" borderId="0" xfId="2" applyNumberFormat="1" applyFont="1"/>
    <xf numFmtId="0" fontId="2" fillId="0" borderId="0" xfId="0" applyFont="1" applyAlignment="1">
      <alignment horizontal="right"/>
    </xf>
    <xf numFmtId="167" fontId="2" fillId="0" borderId="0" xfId="2" applyNumberFormat="1" applyFont="1"/>
    <xf numFmtId="0" fontId="0" fillId="0" borderId="0" xfId="0" applyFont="1" applyAlignment="1">
      <alignment horizontal="right"/>
    </xf>
    <xf numFmtId="167" fontId="0" fillId="0" borderId="0" xfId="2" applyNumberFormat="1" applyFont="1" applyBorder="1" applyAlignment="1">
      <alignment horizontal="right" vertical="center" wrapText="1"/>
    </xf>
    <xf numFmtId="167" fontId="0" fillId="2" borderId="0" xfId="2" applyNumberFormat="1" applyFont="1" applyFill="1"/>
    <xf numFmtId="0" fontId="0" fillId="0" borderId="0" xfId="0" applyBorder="1" applyAlignment="1">
      <alignment horizontal="center"/>
    </xf>
    <xf numFmtId="0" fontId="2" fillId="2" borderId="28" xfId="0" applyFont="1" applyFill="1" applyBorder="1" applyAlignment="1">
      <alignment horizontal="right" vertical="center" wrapText="1"/>
    </xf>
    <xf numFmtId="0" fontId="2" fillId="2" borderId="29" xfId="0" applyFont="1" applyFill="1" applyBorder="1" applyAlignment="1">
      <alignment horizontal="right" vertical="center"/>
    </xf>
    <xf numFmtId="0" fontId="0" fillId="0" borderId="0" xfId="0" applyFont="1" applyFill="1" applyBorder="1" applyAlignment="1">
      <alignment horizontal="right"/>
    </xf>
    <xf numFmtId="44" fontId="49" fillId="0" borderId="0" xfId="2" applyNumberFormat="1" applyFont="1" applyFill="1" applyBorder="1" applyAlignment="1">
      <alignment horizontal="right" vertical="center" wrapText="1"/>
    </xf>
    <xf numFmtId="167" fontId="52" fillId="0" borderId="0" xfId="2" applyNumberFormat="1" applyFont="1"/>
    <xf numFmtId="0" fontId="17" fillId="0" borderId="30" xfId="0" applyFont="1" applyBorder="1" applyAlignment="1">
      <alignment horizontal="right" vertical="center" wrapText="1"/>
    </xf>
    <xf numFmtId="0" fontId="17" fillId="0" borderId="27" xfId="0" applyFont="1" applyBorder="1" applyAlignment="1">
      <alignment horizontal="right" vertical="center"/>
    </xf>
    <xf numFmtId="0" fontId="17" fillId="0" borderId="31" xfId="0" applyFont="1" applyBorder="1" applyAlignment="1">
      <alignment horizontal="right" vertical="center" wrapText="1"/>
    </xf>
    <xf numFmtId="0" fontId="17" fillId="0" borderId="32" xfId="0" applyFont="1" applyBorder="1" applyAlignment="1">
      <alignment horizontal="right" vertical="center"/>
    </xf>
    <xf numFmtId="167" fontId="10" fillId="0" borderId="25" xfId="2" applyNumberFormat="1" applyFont="1" applyBorder="1" applyAlignment="1">
      <alignment horizontal="right" vertical="center" wrapText="1"/>
    </xf>
    <xf numFmtId="167" fontId="10" fillId="0" borderId="0" xfId="2" applyNumberFormat="1" applyFont="1" applyBorder="1" applyAlignment="1">
      <alignment horizontal="right" vertical="center" wrapText="1"/>
    </xf>
    <xf numFmtId="167" fontId="10" fillId="0" borderId="26" xfId="2" applyNumberFormat="1" applyFont="1" applyBorder="1" applyAlignment="1">
      <alignment horizontal="right" vertical="center" wrapText="1"/>
    </xf>
    <xf numFmtId="0" fontId="0" fillId="5" borderId="21" xfId="0" applyFont="1" applyFill="1" applyBorder="1" applyAlignment="1">
      <alignment horizontal="right"/>
    </xf>
    <xf numFmtId="0" fontId="2" fillId="0" borderId="1" xfId="0" applyFont="1" applyBorder="1" applyAlignment="1">
      <alignment horizontal="center" vertical="center" wrapText="1"/>
    </xf>
    <xf numFmtId="167" fontId="2" fillId="0" borderId="0" xfId="2" applyNumberFormat="1" applyFont="1" applyBorder="1" applyAlignment="1">
      <alignment horizontal="right" vertical="center" wrapText="1"/>
    </xf>
    <xf numFmtId="0" fontId="2" fillId="0" borderId="0" xfId="0" applyFont="1" applyBorder="1" applyAlignment="1">
      <alignment horizontal="center" vertical="center"/>
    </xf>
    <xf numFmtId="0" fontId="0" fillId="0" borderId="0" xfId="0" applyFont="1" applyBorder="1" applyAlignment="1">
      <alignment horizontal="center"/>
    </xf>
    <xf numFmtId="0" fontId="10" fillId="0" borderId="0" xfId="0" applyFont="1" applyBorder="1" applyAlignment="1">
      <alignment horizontal="right" vertical="center"/>
    </xf>
    <xf numFmtId="167" fontId="0" fillId="0" borderId="0" xfId="0" applyNumberFormat="1" applyFont="1"/>
    <xf numFmtId="167" fontId="49" fillId="0" borderId="0" xfId="2" applyNumberFormat="1" applyFont="1"/>
    <xf numFmtId="0" fontId="0" fillId="0" borderId="0" xfId="0" applyFont="1" applyAlignment="1">
      <alignment horizontal="right" wrapText="1"/>
    </xf>
    <xf numFmtId="169" fontId="2" fillId="0" borderId="0" xfId="1" applyNumberFormat="1" applyFont="1" applyAlignment="1"/>
    <xf numFmtId="0" fontId="2" fillId="0" borderId="0" xfId="0" applyFont="1" applyAlignment="1"/>
    <xf numFmtId="169" fontId="36" fillId="0" borderId="1" xfId="1" applyNumberFormat="1" applyFont="1" applyBorder="1" applyAlignment="1">
      <alignment vertical="center"/>
    </xf>
    <xf numFmtId="0" fontId="0" fillId="0" borderId="0" xfId="0" applyAlignment="1">
      <alignment horizontal="right"/>
    </xf>
    <xf numFmtId="167" fontId="2" fillId="0" borderId="7" xfId="0" applyNumberFormat="1" applyFont="1" applyBorder="1"/>
    <xf numFmtId="0" fontId="19" fillId="0" borderId="0" xfId="0" applyFont="1" applyBorder="1" applyAlignment="1">
      <alignment horizontal="center" vertical="center" wrapText="1"/>
    </xf>
    <xf numFmtId="0" fontId="16" fillId="0" borderId="15" xfId="0" applyFont="1" applyBorder="1" applyAlignment="1">
      <alignment horizontal="center" vertical="center"/>
    </xf>
    <xf numFmtId="0" fontId="24" fillId="0" borderId="0" xfId="0" applyFont="1" applyBorder="1" applyAlignment="1">
      <alignment horizontal="center" vertical="center"/>
    </xf>
    <xf numFmtId="0" fontId="53" fillId="0" borderId="0" xfId="0" applyFont="1" applyAlignment="1">
      <alignment vertical="center"/>
    </xf>
    <xf numFmtId="0" fontId="2" fillId="5" borderId="0" xfId="0" applyFont="1" applyFill="1" applyAlignment="1">
      <alignment horizontal="right"/>
    </xf>
    <xf numFmtId="167" fontId="2" fillId="5" borderId="0" xfId="2" applyNumberFormat="1" applyFont="1" applyFill="1"/>
    <xf numFmtId="0" fontId="2" fillId="0" borderId="35" xfId="0" applyFont="1" applyFill="1" applyBorder="1" applyAlignment="1">
      <alignment horizontal="center" vertical="center" wrapText="1"/>
    </xf>
    <xf numFmtId="167" fontId="36" fillId="0" borderId="1" xfId="0" applyNumberFormat="1" applyFont="1" applyBorder="1" applyAlignment="1">
      <alignment vertical="center"/>
    </xf>
    <xf numFmtId="167" fontId="2" fillId="0" borderId="0" xfId="0" applyNumberFormat="1" applyFont="1" applyAlignment="1"/>
    <xf numFmtId="167" fontId="36" fillId="0" borderId="0" xfId="0" applyNumberFormat="1" applyFont="1" applyBorder="1" applyAlignment="1">
      <alignment vertical="center"/>
    </xf>
    <xf numFmtId="0" fontId="2" fillId="0" borderId="1" xfId="0" applyFont="1" applyFill="1" applyBorder="1" applyAlignment="1">
      <alignment horizontal="center" vertical="center" wrapText="1"/>
    </xf>
    <xf numFmtId="165" fontId="4" fillId="0" borderId="0" xfId="3" applyNumberFormat="1" applyFont="1"/>
    <xf numFmtId="167" fontId="55" fillId="5" borderId="1" xfId="2" applyNumberFormat="1" applyFont="1" applyFill="1" applyBorder="1" applyAlignment="1">
      <alignment horizontal="center"/>
    </xf>
    <xf numFmtId="44" fontId="2" fillId="5" borderId="8" xfId="0" applyNumberFormat="1" applyFont="1" applyFill="1" applyBorder="1" applyAlignment="1">
      <alignment horizontal="center" vertical="top"/>
    </xf>
    <xf numFmtId="44" fontId="42" fillId="8" borderId="8" xfId="0" applyNumberFormat="1" applyFont="1" applyFill="1" applyBorder="1" applyAlignment="1">
      <alignment horizontal="center" vertical="top"/>
    </xf>
    <xf numFmtId="0" fontId="59" fillId="0" borderId="2" xfId="0" applyFont="1" applyBorder="1" applyAlignment="1">
      <alignment horizontal="center" vertical="top"/>
    </xf>
    <xf numFmtId="168" fontId="4" fillId="5" borderId="11" xfId="0" applyNumberFormat="1" applyFont="1" applyFill="1" applyBorder="1" applyAlignment="1">
      <alignment horizontal="center" vertical="top"/>
    </xf>
    <xf numFmtId="0" fontId="0" fillId="0" borderId="0" xfId="0" applyFont="1" applyAlignment="1"/>
    <xf numFmtId="8" fontId="0" fillId="0" borderId="0" xfId="0" applyNumberFormat="1" applyAlignment="1"/>
    <xf numFmtId="0" fontId="61" fillId="8" borderId="7" xfId="0" applyFont="1" applyFill="1" applyBorder="1" applyAlignment="1">
      <alignment vertical="top"/>
    </xf>
    <xf numFmtId="8" fontId="0" fillId="0" borderId="0" xfId="0" applyNumberFormat="1"/>
    <xf numFmtId="167" fontId="46" fillId="0" borderId="0" xfId="2" applyNumberFormat="1" applyFont="1" applyFill="1" applyBorder="1" applyAlignment="1">
      <alignment vertical="center"/>
    </xf>
    <xf numFmtId="167" fontId="47" fillId="0" borderId="0" xfId="2" applyNumberFormat="1" applyFont="1" applyFill="1" applyBorder="1" applyAlignment="1">
      <alignment vertical="center"/>
    </xf>
    <xf numFmtId="0" fontId="0" fillId="0" borderId="0" xfId="0" applyFill="1" applyBorder="1"/>
    <xf numFmtId="167" fontId="46" fillId="3" borderId="10" xfId="2" applyNumberFormat="1" applyFont="1" applyFill="1" applyBorder="1" applyAlignment="1">
      <alignment vertical="center"/>
    </xf>
    <xf numFmtId="167" fontId="46" fillId="3" borderId="11" xfId="2" applyNumberFormat="1" applyFont="1" applyFill="1" applyBorder="1" applyAlignment="1">
      <alignment vertical="center"/>
    </xf>
    <xf numFmtId="167" fontId="46" fillId="4" borderId="1" xfId="2" applyNumberFormat="1" applyFont="1" applyFill="1" applyBorder="1" applyAlignment="1">
      <alignment vertical="center"/>
    </xf>
    <xf numFmtId="167" fontId="13" fillId="0" borderId="10" xfId="2" applyNumberFormat="1" applyFont="1" applyFill="1" applyBorder="1" applyAlignment="1">
      <alignment vertical="center"/>
    </xf>
    <xf numFmtId="167" fontId="0" fillId="0" borderId="23" xfId="0" applyNumberFormat="1" applyBorder="1"/>
    <xf numFmtId="0" fontId="0" fillId="0" borderId="23" xfId="0" applyBorder="1"/>
    <xf numFmtId="44" fontId="0" fillId="0" borderId="23" xfId="0" applyNumberFormat="1" applyBorder="1"/>
    <xf numFmtId="167" fontId="47" fillId="7" borderId="36" xfId="2" applyNumberFormat="1" applyFont="1" applyFill="1" applyBorder="1" applyAlignment="1">
      <alignment vertical="center"/>
    </xf>
    <xf numFmtId="167" fontId="63" fillId="3" borderId="11" xfId="2" applyNumberFormat="1" applyFont="1" applyFill="1" applyBorder="1" applyAlignment="1">
      <alignment vertical="center"/>
    </xf>
    <xf numFmtId="167" fontId="63" fillId="3" borderId="1" xfId="2" applyNumberFormat="1" applyFont="1" applyFill="1" applyBorder="1" applyAlignment="1">
      <alignment vertical="center"/>
    </xf>
    <xf numFmtId="167" fontId="63" fillId="3" borderId="10" xfId="2" applyNumberFormat="1" applyFont="1" applyFill="1" applyBorder="1" applyAlignment="1">
      <alignment vertical="center"/>
    </xf>
    <xf numFmtId="167" fontId="64" fillId="0" borderId="0" xfId="2" applyNumberFormat="1" applyFont="1" applyBorder="1" applyAlignment="1">
      <alignment horizontal="right" vertical="center" wrapText="1"/>
    </xf>
    <xf numFmtId="167" fontId="64" fillId="0" borderId="0" xfId="2" applyNumberFormat="1" applyFont="1" applyBorder="1" applyAlignment="1">
      <alignment vertical="center"/>
    </xf>
    <xf numFmtId="167" fontId="49" fillId="5" borderId="0" xfId="2" applyNumberFormat="1" applyFont="1" applyFill="1" applyBorder="1" applyAlignment="1">
      <alignment horizontal="right" vertical="center" wrapText="1"/>
    </xf>
    <xf numFmtId="167" fontId="49" fillId="5" borderId="21" xfId="2" applyNumberFormat="1" applyFont="1" applyFill="1" applyBorder="1"/>
    <xf numFmtId="167" fontId="49" fillId="5" borderId="20" xfId="2" applyNumberFormat="1" applyFont="1" applyFill="1" applyBorder="1"/>
    <xf numFmtId="167" fontId="49" fillId="5" borderId="19" xfId="2" applyNumberFormat="1" applyFont="1" applyFill="1" applyBorder="1" applyAlignment="1">
      <alignment horizontal="right" vertical="center" wrapText="1"/>
    </xf>
    <xf numFmtId="167" fontId="49" fillId="0" borderId="0" xfId="2" applyNumberFormat="1" applyFont="1" applyFill="1" applyBorder="1"/>
    <xf numFmtId="0" fontId="49" fillId="0" borderId="0" xfId="0" applyFont="1"/>
    <xf numFmtId="167" fontId="2" fillId="5" borderId="0" xfId="2" applyNumberFormat="1" applyFont="1" applyFill="1" applyBorder="1" applyAlignment="1">
      <alignment horizontal="right" vertical="center" wrapText="1"/>
    </xf>
    <xf numFmtId="0" fontId="11" fillId="2" borderId="1" xfId="0" applyFont="1" applyFill="1" applyBorder="1" applyAlignment="1">
      <alignment horizontal="center" wrapText="1"/>
    </xf>
    <xf numFmtId="0" fontId="11" fillId="0" borderId="0" xfId="0" applyFont="1"/>
    <xf numFmtId="0" fontId="11" fillId="0" borderId="0" xfId="0" applyFont="1" applyBorder="1"/>
    <xf numFmtId="43" fontId="0" fillId="0" borderId="0" xfId="1" applyFont="1" applyAlignment="1"/>
    <xf numFmtId="0" fontId="12" fillId="0" borderId="0" xfId="0" applyFont="1"/>
    <xf numFmtId="167" fontId="47" fillId="0" borderId="1" xfId="2" applyNumberFormat="1" applyFont="1" applyFill="1" applyBorder="1" applyAlignment="1">
      <alignment vertical="center"/>
    </xf>
    <xf numFmtId="167" fontId="46" fillId="0" borderId="1" xfId="2" applyNumberFormat="1" applyFont="1" applyFill="1" applyBorder="1" applyAlignment="1">
      <alignment vertical="center"/>
    </xf>
    <xf numFmtId="167" fontId="46" fillId="3" borderId="35" xfId="2" applyNumberFormat="1" applyFont="1" applyFill="1" applyBorder="1" applyAlignment="1">
      <alignment vertical="center"/>
    </xf>
    <xf numFmtId="0" fontId="0" fillId="0" borderId="0" xfId="0" applyFont="1" applyFill="1" applyBorder="1" applyAlignment="1">
      <alignment horizontal="right" wrapText="1"/>
    </xf>
    <xf numFmtId="170" fontId="36" fillId="0" borderId="1" xfId="0" applyNumberFormat="1" applyFont="1" applyBorder="1" applyAlignment="1">
      <alignment horizontal="right" indent="1"/>
    </xf>
    <xf numFmtId="0" fontId="0" fillId="0" borderId="0" xfId="0" applyFont="1" applyFill="1" applyBorder="1" applyAlignment="1">
      <alignment horizontal="right" vertical="center" wrapText="1"/>
    </xf>
    <xf numFmtId="167" fontId="36" fillId="0" borderId="1" xfId="0" applyNumberFormat="1" applyFont="1" applyFill="1" applyBorder="1" applyAlignment="1">
      <alignment vertical="center"/>
    </xf>
    <xf numFmtId="167" fontId="65" fillId="0" borderId="1" xfId="0" applyNumberFormat="1" applyFont="1" applyFill="1" applyBorder="1" applyAlignment="1">
      <alignment vertical="center"/>
    </xf>
    <xf numFmtId="165" fontId="0" fillId="0" borderId="0" xfId="3" applyNumberFormat="1" applyFont="1" applyAlignment="1">
      <alignment horizontal="center"/>
    </xf>
    <xf numFmtId="165" fontId="20" fillId="0" borderId="0" xfId="3" applyNumberFormat="1" applyFont="1" applyAlignment="1">
      <alignment horizontal="center"/>
    </xf>
    <xf numFmtId="165" fontId="46" fillId="0" borderId="0" xfId="3" applyNumberFormat="1" applyFont="1" applyFill="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horizontal="center" vertical="center"/>
    </xf>
    <xf numFmtId="167" fontId="12" fillId="0" borderId="0" xfId="2" applyNumberFormat="1" applyFont="1"/>
    <xf numFmtId="167" fontId="12" fillId="0" borderId="0" xfId="2" applyNumberFormat="1" applyFont="1" applyFill="1" applyBorder="1"/>
    <xf numFmtId="44" fontId="4" fillId="0" borderId="0" xfId="2" applyNumberFormat="1" applyFont="1" applyFill="1" applyBorder="1" applyAlignment="1">
      <alignment horizontal="right" vertical="center" wrapText="1"/>
    </xf>
    <xf numFmtId="167" fontId="46" fillId="0" borderId="0" xfId="2" applyNumberFormat="1" applyFont="1"/>
    <xf numFmtId="167" fontId="13" fillId="0" borderId="0" xfId="2" applyNumberFormat="1" applyFont="1"/>
    <xf numFmtId="167" fontId="22" fillId="5" borderId="1" xfId="2" applyNumberFormat="1" applyFont="1" applyFill="1" applyBorder="1" applyAlignment="1">
      <alignment horizontal="center"/>
    </xf>
    <xf numFmtId="0" fontId="23" fillId="0" borderId="35" xfId="0" applyFont="1" applyFill="1" applyBorder="1" applyAlignment="1">
      <alignment horizontal="center" vertical="center" wrapText="1"/>
    </xf>
    <xf numFmtId="0" fontId="16" fillId="0" borderId="35" xfId="0" applyFont="1" applyFill="1" applyBorder="1" applyAlignment="1">
      <alignment horizontal="center" vertical="center" wrapText="1"/>
    </xf>
    <xf numFmtId="167" fontId="64" fillId="0" borderId="25" xfId="2" applyNumberFormat="1" applyFont="1" applyBorder="1" applyAlignment="1">
      <alignment horizontal="right" vertical="center" wrapText="1"/>
    </xf>
    <xf numFmtId="167" fontId="64" fillId="0" borderId="26" xfId="2" applyNumberFormat="1" applyFont="1" applyBorder="1" applyAlignment="1">
      <alignment horizontal="right" vertical="center" wrapText="1"/>
    </xf>
    <xf numFmtId="0" fontId="36"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9" fillId="0" borderId="0" xfId="0" applyFont="1"/>
    <xf numFmtId="0" fontId="68" fillId="0" borderId="1" xfId="4" applyFont="1" applyFill="1" applyBorder="1" applyAlignment="1" applyProtection="1">
      <alignment horizontal="center" vertical="center" wrapText="1"/>
    </xf>
    <xf numFmtId="0" fontId="68" fillId="0" borderId="1" xfId="4" applyFont="1" applyBorder="1" applyAlignment="1" applyProtection="1">
      <alignment horizontal="center" vertical="center" wrapText="1"/>
    </xf>
    <xf numFmtId="0" fontId="67" fillId="0" borderId="1" xfId="0" applyFont="1" applyFill="1" applyBorder="1" applyAlignment="1">
      <alignment horizontal="center" vertical="center" wrapText="1"/>
    </xf>
    <xf numFmtId="0" fontId="24" fillId="0" borderId="0" xfId="0" applyFont="1" applyBorder="1" applyAlignment="1">
      <alignment horizontal="center" vertical="center"/>
    </xf>
    <xf numFmtId="10" fontId="0" fillId="0" borderId="0" xfId="3" applyNumberFormat="1" applyFont="1" applyAlignment="1">
      <alignment horizontal="center"/>
    </xf>
    <xf numFmtId="10" fontId="0" fillId="0" borderId="0" xfId="0" applyNumberFormat="1" applyFont="1" applyAlignment="1">
      <alignment horizontal="right"/>
    </xf>
    <xf numFmtId="10" fontId="11" fillId="0" borderId="0" xfId="3" applyNumberFormat="1" applyFont="1" applyAlignment="1">
      <alignment horizontal="center"/>
    </xf>
    <xf numFmtId="10" fontId="0" fillId="0" borderId="0" xfId="0" applyNumberFormat="1" applyAlignment="1">
      <alignment horizontal="right"/>
    </xf>
    <xf numFmtId="167" fontId="2" fillId="2" borderId="0" xfId="2" applyNumberFormat="1" applyFont="1" applyFill="1" applyBorder="1" applyAlignment="1">
      <alignment horizontal="right" vertical="center" wrapText="1"/>
    </xf>
    <xf numFmtId="0" fontId="2" fillId="2" borderId="0" xfId="0" applyFont="1" applyFill="1" applyAlignment="1">
      <alignment horizontal="right"/>
    </xf>
    <xf numFmtId="0" fontId="2" fillId="0" borderId="0" xfId="0" applyFont="1"/>
    <xf numFmtId="167" fontId="4" fillId="0" borderId="0" xfId="2" applyNumberFormat="1" applyFont="1"/>
    <xf numFmtId="0" fontId="37"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44" fontId="37" fillId="4" borderId="1" xfId="2" applyNumberFormat="1" applyFont="1" applyFill="1" applyBorder="1" applyAlignment="1">
      <alignment vertical="center"/>
    </xf>
    <xf numFmtId="165" fontId="37" fillId="4" borderId="1" xfId="3" applyNumberFormat="1" applyFont="1" applyFill="1" applyBorder="1" applyAlignment="1">
      <alignment horizontal="center" vertical="center"/>
    </xf>
    <xf numFmtId="164" fontId="37" fillId="4" borderId="1" xfId="1" applyNumberFormat="1" applyFont="1" applyFill="1" applyBorder="1" applyAlignment="1">
      <alignment horizontal="center" vertical="center"/>
    </xf>
    <xf numFmtId="165" fontId="37" fillId="4" borderId="1" xfId="3" applyNumberFormat="1" applyFont="1" applyFill="1" applyBorder="1" applyAlignment="1">
      <alignment vertical="center"/>
    </xf>
    <xf numFmtId="167" fontId="37" fillId="4" borderId="14" xfId="2" applyNumberFormat="1" applyFont="1" applyFill="1" applyBorder="1" applyAlignment="1">
      <alignment vertical="center"/>
    </xf>
    <xf numFmtId="0" fontId="0" fillId="4" borderId="0" xfId="0" applyFill="1"/>
    <xf numFmtId="167" fontId="37" fillId="4" borderId="1" xfId="2" applyNumberFormat="1" applyFont="1" applyFill="1" applyBorder="1" applyAlignment="1">
      <alignment vertical="center"/>
    </xf>
    <xf numFmtId="0" fontId="11"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1" xfId="0" applyFont="1" applyFill="1" applyBorder="1" applyAlignment="1">
      <alignment horizontal="center" vertical="center"/>
    </xf>
    <xf numFmtId="0" fontId="14" fillId="6" borderId="12" xfId="0" applyFont="1" applyFill="1" applyBorder="1" applyAlignment="1">
      <alignment horizontal="center" vertical="center"/>
    </xf>
    <xf numFmtId="0" fontId="41" fillId="4" borderId="4" xfId="0" applyFont="1" applyFill="1" applyBorder="1" applyAlignment="1">
      <alignment vertical="top"/>
    </xf>
    <xf numFmtId="0" fontId="41" fillId="4" borderId="2" xfId="0" applyFont="1" applyFill="1" applyBorder="1" applyAlignment="1">
      <alignment horizontal="center" vertical="top"/>
    </xf>
    <xf numFmtId="0" fontId="41" fillId="4" borderId="10" xfId="0" applyFont="1" applyFill="1" applyBorder="1" applyAlignment="1">
      <alignment horizontal="center" vertical="top"/>
    </xf>
    <xf numFmtId="8" fontId="40" fillId="4" borderId="5" xfId="0" applyNumberFormat="1" applyFont="1" applyFill="1" applyBorder="1" applyAlignment="1">
      <alignment horizontal="center" vertical="top"/>
    </xf>
    <xf numFmtId="0" fontId="61" fillId="4" borderId="7" xfId="0" applyFont="1" applyFill="1" applyBorder="1" applyAlignment="1">
      <alignment vertical="top"/>
    </xf>
    <xf numFmtId="0" fontId="42" fillId="4" borderId="8" xfId="0" applyFont="1" applyFill="1" applyBorder="1" applyAlignment="1">
      <alignment horizontal="center" vertical="top"/>
    </xf>
    <xf numFmtId="44" fontId="42" fillId="4" borderId="8" xfId="0" applyNumberFormat="1" applyFont="1" applyFill="1" applyBorder="1" applyAlignment="1">
      <alignment horizontal="center" vertical="top"/>
    </xf>
    <xf numFmtId="6" fontId="42" fillId="4" borderId="8" xfId="0" applyNumberFormat="1" applyFont="1" applyFill="1" applyBorder="1" applyAlignment="1">
      <alignment horizontal="center" vertical="top"/>
    </xf>
    <xf numFmtId="6" fontId="42" fillId="4" borderId="11" xfId="0" applyNumberFormat="1" applyFont="1" applyFill="1" applyBorder="1" applyAlignment="1">
      <alignment horizontal="center" vertical="top"/>
    </xf>
    <xf numFmtId="170" fontId="36" fillId="0" borderId="0" xfId="0" applyNumberFormat="1" applyFont="1" applyBorder="1" applyAlignment="1">
      <alignment horizontal="right" indent="1"/>
    </xf>
    <xf numFmtId="167" fontId="0" fillId="0" borderId="0" xfId="0" applyNumberFormat="1" applyAlignment="1">
      <alignment horizontal="center"/>
    </xf>
    <xf numFmtId="10" fontId="28" fillId="2" borderId="1" xfId="3" applyNumberFormat="1" applyFont="1" applyFill="1" applyBorder="1" applyAlignment="1">
      <alignment horizontal="center" vertical="center"/>
    </xf>
    <xf numFmtId="0" fontId="2" fillId="0" borderId="35" xfId="0" applyFont="1" applyFill="1" applyBorder="1" applyAlignment="1">
      <alignment horizontal="right" vertical="center" wrapText="1"/>
    </xf>
    <xf numFmtId="167" fontId="2" fillId="0" borderId="0" xfId="2" applyNumberFormat="1" applyFont="1" applyFill="1"/>
    <xf numFmtId="165" fontId="0" fillId="0" borderId="0" xfId="0" applyNumberFormat="1" applyAlignment="1">
      <alignment horizontal="center"/>
    </xf>
    <xf numFmtId="167" fontId="2" fillId="0" borderId="0" xfId="0" applyNumberFormat="1" applyFont="1" applyBorder="1"/>
    <xf numFmtId="0" fontId="0" fillId="0" borderId="0" xfId="0" applyAlignment="1">
      <alignment horizontal="right" indent="1"/>
    </xf>
    <xf numFmtId="171" fontId="0" fillId="0" borderId="0" xfId="1" applyNumberFormat="1" applyFont="1" applyAlignment="1">
      <alignment horizontal="center"/>
    </xf>
    <xf numFmtId="167" fontId="0" fillId="0" borderId="3" xfId="0" applyNumberFormat="1" applyFont="1" applyBorder="1"/>
    <xf numFmtId="0" fontId="20" fillId="0" borderId="0" xfId="0" applyFont="1" applyBorder="1" applyAlignment="1">
      <alignment horizontal="center"/>
    </xf>
    <xf numFmtId="171" fontId="0" fillId="0" borderId="0" xfId="0" applyNumberFormat="1"/>
    <xf numFmtId="0" fontId="32" fillId="0" borderId="0" xfId="0" applyFont="1" applyAlignment="1">
      <alignment horizontal="right" indent="2"/>
    </xf>
    <xf numFmtId="0" fontId="32" fillId="0" borderId="0" xfId="0" applyFont="1" applyAlignment="1">
      <alignment horizontal="center"/>
    </xf>
    <xf numFmtId="0" fontId="32" fillId="0" borderId="0" xfId="0" applyFont="1" applyAlignment="1">
      <alignment horizontal="right"/>
    </xf>
    <xf numFmtId="167" fontId="9" fillId="0" borderId="0" xfId="2" applyNumberFormat="1" applyFont="1" applyAlignment="1">
      <alignment horizontal="right"/>
    </xf>
    <xf numFmtId="167" fontId="2" fillId="0" borderId="0" xfId="0" quotePrefix="1" applyNumberFormat="1" applyFont="1" applyAlignment="1">
      <alignment horizontal="center"/>
    </xf>
    <xf numFmtId="167" fontId="2" fillId="0" borderId="0" xfId="0" applyNumberFormat="1" applyFont="1"/>
    <xf numFmtId="171" fontId="49" fillId="0" borderId="0" xfId="1" applyNumberFormat="1" applyFont="1" applyAlignment="1">
      <alignment horizontal="center"/>
    </xf>
    <xf numFmtId="167" fontId="4" fillId="0" borderId="0" xfId="0" applyNumberFormat="1" applyFont="1"/>
    <xf numFmtId="167" fontId="9" fillId="0" borderId="0" xfId="0" applyNumberFormat="1" applyFont="1"/>
    <xf numFmtId="172" fontId="0" fillId="0" borderId="0" xfId="0" applyNumberFormat="1"/>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165" fontId="37" fillId="4" borderId="14" xfId="3" applyNumberFormat="1" applyFont="1" applyFill="1" applyBorder="1" applyAlignment="1">
      <alignment horizontal="center" vertical="center"/>
    </xf>
    <xf numFmtId="165" fontId="37" fillId="4" borderId="16" xfId="3" applyNumberFormat="1" applyFont="1" applyFill="1" applyBorder="1" applyAlignment="1">
      <alignment horizontal="center" vertical="center"/>
    </xf>
    <xf numFmtId="0" fontId="44" fillId="0" borderId="3" xfId="4" applyFont="1" applyBorder="1" applyAlignment="1" applyProtection="1">
      <alignment horizontal="left" wrapText="1"/>
    </xf>
    <xf numFmtId="0" fontId="44" fillId="0" borderId="0" xfId="4" applyFont="1" applyBorder="1" applyAlignment="1" applyProtection="1">
      <alignment horizontal="left" vertical="top" wrapText="1"/>
    </xf>
    <xf numFmtId="0" fontId="44" fillId="0" borderId="3" xfId="4" applyFont="1" applyBorder="1" applyAlignment="1" applyProtection="1">
      <alignment wrapText="1"/>
    </xf>
    <xf numFmtId="0" fontId="44" fillId="0" borderId="3" xfId="4" applyFont="1" applyBorder="1" applyAlignment="1" applyProtection="1">
      <alignment horizontal="left" vertical="top" wrapText="1"/>
    </xf>
    <xf numFmtId="0" fontId="60" fillId="0" borderId="10"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1" xfId="0" applyFont="1" applyBorder="1" applyAlignment="1">
      <alignment horizontal="center" vertical="center" wrapText="1"/>
    </xf>
    <xf numFmtId="168" fontId="57" fillId="0" borderId="10" xfId="0" applyNumberFormat="1" applyFont="1" applyFill="1" applyBorder="1" applyAlignment="1">
      <alignment horizontal="center" vertical="center"/>
    </xf>
    <xf numFmtId="168" fontId="57" fillId="0" borderId="11" xfId="0" applyNumberFormat="1" applyFont="1" applyFill="1" applyBorder="1" applyAlignment="1">
      <alignment horizontal="center" vertical="center"/>
    </xf>
    <xf numFmtId="0" fontId="10" fillId="0" borderId="3" xfId="0" applyFont="1" applyBorder="1" applyAlignment="1">
      <alignment horizontal="left" vertical="center" wrapText="1"/>
    </xf>
    <xf numFmtId="0" fontId="44" fillId="0" borderId="4" xfId="4" applyFont="1" applyBorder="1" applyAlignment="1" applyProtection="1">
      <alignment horizontal="left" vertical="top" wrapText="1"/>
    </xf>
    <xf numFmtId="0" fontId="2" fillId="0" borderId="4"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5" fillId="0" borderId="3" xfId="4" applyBorder="1" applyAlignment="1" applyProtection="1">
      <alignment horizontal="center"/>
    </xf>
    <xf numFmtId="0" fontId="43" fillId="0" borderId="0" xfId="4" applyFont="1" applyBorder="1" applyAlignment="1" applyProtection="1">
      <alignment horizontal="center"/>
    </xf>
    <xf numFmtId="0" fontId="43" fillId="0" borderId="6" xfId="4" applyFont="1" applyBorder="1" applyAlignment="1" applyProtection="1">
      <alignment horizontal="center"/>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34" fillId="0" borderId="14" xfId="0" applyFont="1" applyBorder="1" applyAlignment="1">
      <alignment horizontal="center" vertical="center"/>
    </xf>
    <xf numFmtId="0" fontId="34" fillId="0" borderId="16" xfId="0" applyFont="1" applyBorder="1" applyAlignment="1">
      <alignment horizontal="center" vertical="center"/>
    </xf>
    <xf numFmtId="0" fontId="18"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168" fontId="58" fillId="4" borderId="10" xfId="0" applyNumberFormat="1" applyFont="1" applyFill="1" applyBorder="1" applyAlignment="1">
      <alignment horizontal="center" vertical="center"/>
    </xf>
    <xf numFmtId="168" fontId="58" fillId="4" borderId="11" xfId="0" applyNumberFormat="1" applyFont="1" applyFill="1" applyBorder="1" applyAlignment="1">
      <alignment horizontal="center" vertical="center"/>
    </xf>
    <xf numFmtId="168" fontId="57" fillId="0" borderId="18" xfId="0" applyNumberFormat="1" applyFont="1" applyFill="1" applyBorder="1" applyAlignment="1">
      <alignment horizontal="center" vertical="center"/>
    </xf>
    <xf numFmtId="168" fontId="58" fillId="8" borderId="10" xfId="0" applyNumberFormat="1" applyFont="1" applyFill="1" applyBorder="1" applyAlignment="1">
      <alignment horizontal="center" vertical="center"/>
    </xf>
    <xf numFmtId="168" fontId="58" fillId="8" borderId="11" xfId="0" applyNumberFormat="1" applyFont="1" applyFill="1"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xf>
    <xf numFmtId="0" fontId="32" fillId="0" borderId="4" xfId="0" applyFont="1" applyBorder="1" applyAlignment="1">
      <alignment horizontal="center"/>
    </xf>
    <xf numFmtId="0" fontId="32" fillId="0" borderId="2" xfId="0" applyFont="1" applyBorder="1" applyAlignment="1">
      <alignment horizontal="center"/>
    </xf>
    <xf numFmtId="0" fontId="32" fillId="0" borderId="5"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4" fillId="0" borderId="0"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0" borderId="35" xfId="0" applyFont="1" applyBorder="1" applyAlignment="1">
      <alignment horizontal="center" vertical="center" wrapText="1"/>
    </xf>
    <xf numFmtId="167" fontId="56" fillId="0" borderId="28" xfId="2" applyNumberFormat="1" applyFont="1" applyBorder="1" applyAlignment="1">
      <alignment horizontal="center" vertical="center" wrapText="1"/>
    </xf>
    <xf numFmtId="167" fontId="56" fillId="0" borderId="33" xfId="2" applyNumberFormat="1" applyFont="1" applyBorder="1" applyAlignment="1">
      <alignment horizontal="center" vertical="center" wrapText="1"/>
    </xf>
    <xf numFmtId="167" fontId="56" fillId="0" borderId="29" xfId="2" applyNumberFormat="1" applyFont="1" applyBorder="1" applyAlignment="1">
      <alignment horizontal="center" vertical="center" wrapText="1"/>
    </xf>
    <xf numFmtId="167" fontId="56" fillId="0" borderId="30" xfId="2" applyNumberFormat="1" applyFont="1" applyBorder="1" applyAlignment="1">
      <alignment horizontal="center" vertical="center" wrapText="1"/>
    </xf>
    <xf numFmtId="167" fontId="56" fillId="0" borderId="0" xfId="2" applyNumberFormat="1" applyFont="1" applyBorder="1" applyAlignment="1">
      <alignment horizontal="center" vertical="center" wrapText="1"/>
    </xf>
    <xf numFmtId="167" fontId="56" fillId="0" borderId="27" xfId="2" applyNumberFormat="1" applyFont="1" applyBorder="1" applyAlignment="1">
      <alignment horizontal="center" vertical="center" wrapText="1"/>
    </xf>
    <xf numFmtId="167" fontId="56" fillId="0" borderId="31" xfId="2" applyNumberFormat="1" applyFont="1" applyBorder="1" applyAlignment="1">
      <alignment horizontal="center" vertical="center" wrapText="1"/>
    </xf>
    <xf numFmtId="167" fontId="56" fillId="0" borderId="34" xfId="2" applyNumberFormat="1" applyFont="1" applyBorder="1" applyAlignment="1">
      <alignment horizontal="center" vertical="center" wrapText="1"/>
    </xf>
    <xf numFmtId="167" fontId="56" fillId="0" borderId="32" xfId="2" applyNumberFormat="1" applyFont="1" applyBorder="1" applyAlignment="1">
      <alignment horizontal="center" vertical="center" wrapText="1"/>
    </xf>
    <xf numFmtId="0" fontId="20" fillId="0" borderId="0" xfId="0" applyFont="1" applyBorder="1" applyAlignment="1">
      <alignment horizontal="center"/>
    </xf>
    <xf numFmtId="0" fontId="20" fillId="0" borderId="6"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31" fillId="0" borderId="4" xfId="0" applyFont="1" applyBorder="1" applyAlignment="1">
      <alignment horizontal="center"/>
    </xf>
    <xf numFmtId="0" fontId="31" fillId="0" borderId="2" xfId="0" applyFont="1" applyBorder="1" applyAlignment="1">
      <alignment horizontal="center"/>
    </xf>
    <xf numFmtId="0" fontId="31" fillId="0" borderId="5" xfId="0" applyFont="1" applyBorder="1" applyAlignment="1">
      <alignment horizontal="center"/>
    </xf>
    <xf numFmtId="167" fontId="66" fillId="0" borderId="33" xfId="2" applyNumberFormat="1" applyFont="1" applyBorder="1" applyAlignment="1">
      <alignment horizontal="center" vertical="center" wrapText="1"/>
    </xf>
    <xf numFmtId="167" fontId="66" fillId="0" borderId="29" xfId="2" applyNumberFormat="1" applyFont="1" applyBorder="1" applyAlignment="1">
      <alignment horizontal="center" vertical="center" wrapText="1"/>
    </xf>
    <xf numFmtId="167" fontId="66" fillId="0" borderId="0" xfId="2" applyNumberFormat="1" applyFont="1" applyBorder="1" applyAlignment="1">
      <alignment horizontal="center" vertical="center" wrapText="1"/>
    </xf>
    <xf numFmtId="167" fontId="66" fillId="0" borderId="27" xfId="2" applyNumberFormat="1" applyFont="1" applyBorder="1" applyAlignment="1">
      <alignment horizontal="center" vertical="center" wrapText="1"/>
    </xf>
    <xf numFmtId="167" fontId="66" fillId="0" borderId="34" xfId="2" applyNumberFormat="1" applyFont="1" applyBorder="1" applyAlignment="1">
      <alignment horizontal="center" vertical="center" wrapText="1"/>
    </xf>
    <xf numFmtId="167" fontId="66" fillId="0" borderId="32" xfId="2" applyNumberFormat="1" applyFont="1" applyBorder="1" applyAlignment="1">
      <alignment horizontal="center" vertical="center" wrapText="1"/>
    </xf>
    <xf numFmtId="0" fontId="36" fillId="0" borderId="35" xfId="0" applyFont="1" applyBorder="1" applyAlignment="1">
      <alignment horizontal="center" vertical="center" wrapText="1"/>
    </xf>
    <xf numFmtId="167" fontId="66" fillId="0" borderId="28" xfId="2" applyNumberFormat="1" applyFont="1" applyBorder="1" applyAlignment="1">
      <alignment horizontal="center" vertical="center" wrapText="1"/>
    </xf>
    <xf numFmtId="167" fontId="66" fillId="0" borderId="30" xfId="2" applyNumberFormat="1" applyFont="1" applyBorder="1" applyAlignment="1">
      <alignment horizontal="center" vertical="center" wrapText="1"/>
    </xf>
    <xf numFmtId="167" fontId="66" fillId="0" borderId="31" xfId="2" applyNumberFormat="1" applyFont="1" applyBorder="1" applyAlignment="1">
      <alignment horizontal="center" vertical="center" wrapText="1"/>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36" fillId="5" borderId="1" xfId="0" applyFont="1" applyFill="1" applyBorder="1" applyAlignment="1">
      <alignment horizontal="center" vertical="center"/>
    </xf>
    <xf numFmtId="0" fontId="0" fillId="0" borderId="0" xfId="0" applyAlignment="1">
      <alignment horizontal="center" vertical="center" wrapText="1"/>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mass.gov/anf/docs/atb/2001/01p858.doc" TargetMode="External"/><Relationship Id="rId13" Type="http://schemas.openxmlformats.org/officeDocument/2006/relationships/hyperlink" Target="http://www.mass.gov/dor/docs/dls/bla/farmland/fy16/chapterlandvaluesfy16.pdf" TargetMode="External"/><Relationship Id="rId3" Type="http://schemas.openxmlformats.org/officeDocument/2006/relationships/hyperlink" Target="http://www.mass.gov/dor/docs/dls/bla/pdfs/fvac2002.pdf" TargetMode="External"/><Relationship Id="rId7" Type="http://schemas.openxmlformats.org/officeDocument/2006/relationships/hyperlink" Target="http://www.mass.gov/dor/docs/dls/bla/pdfs/fvac2005.pdf" TargetMode="External"/><Relationship Id="rId12" Type="http://schemas.openxmlformats.org/officeDocument/2006/relationships/hyperlink" Target="http://www.mass.gov/dor/docs/dls/bla/farmland/fy17/chapterlandvaluesfy17.pdf" TargetMode="External"/><Relationship Id="rId2" Type="http://schemas.openxmlformats.org/officeDocument/2006/relationships/hyperlink" Target="https://www.mass.gov/service-details/farmland-valuations" TargetMode="External"/><Relationship Id="rId16" Type="http://schemas.openxmlformats.org/officeDocument/2006/relationships/printerSettings" Target="../printerSettings/printerSettings2.bin"/><Relationship Id="rId1" Type="http://schemas.openxmlformats.org/officeDocument/2006/relationships/hyperlink" Target="http://www.mass.gov/anf/docs/atb/2001/01p613.doc" TargetMode="External"/><Relationship Id="rId6" Type="http://schemas.openxmlformats.org/officeDocument/2006/relationships/hyperlink" Target="http://www.mass.gov/dor/docs/dls/bla/pdfs/fvac2006.pdf" TargetMode="External"/><Relationship Id="rId11" Type="http://schemas.openxmlformats.org/officeDocument/2006/relationships/hyperlink" Target="http://www.mass.gov/dor/docs/dls/bla/farmland/fy15/chapterlandvaluesfy15.pdf" TargetMode="External"/><Relationship Id="rId5" Type="http://schemas.openxmlformats.org/officeDocument/2006/relationships/hyperlink" Target="http://www.mass.gov/dor/docs/dls/bla/pdfs/fvac2004.pdf" TargetMode="External"/><Relationship Id="rId15" Type="http://schemas.openxmlformats.org/officeDocument/2006/relationships/hyperlink" Target="https://www.mass.gov/files/documents/2018/03/28/2019chapter61afarmlandvalues.pdf" TargetMode="External"/><Relationship Id="rId10" Type="http://schemas.openxmlformats.org/officeDocument/2006/relationships/hyperlink" Target="http://www.mass.gov/dor/docs/dls/bla/farmland/fy14/fy2014chapterlandrecommendedvalue.pdf" TargetMode="External"/><Relationship Id="rId4" Type="http://schemas.openxmlformats.org/officeDocument/2006/relationships/hyperlink" Target="http://www.mass.gov/dor/docs/dls/bla/pdfs/fvac2003.pdf" TargetMode="External"/><Relationship Id="rId9" Type="http://schemas.openxmlformats.org/officeDocument/2006/relationships/hyperlink" Target="http://www.carverma.org/documents_governing/masterplan/economicelement.pdf" TargetMode="External"/><Relationship Id="rId14" Type="http://schemas.openxmlformats.org/officeDocument/2006/relationships/hyperlink" Target="https://www.mass.gov/files/documents/2017/09/19/2018%20Chapter61A%20Farmland%20Value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outhmeadowvillage.com/" TargetMode="External"/><Relationship Id="rId2" Type="http://schemas.openxmlformats.org/officeDocument/2006/relationships/hyperlink" Target="http://www.cranberryvillage.coop/" TargetMode="External"/><Relationship Id="rId1" Type="http://schemas.openxmlformats.org/officeDocument/2006/relationships/hyperlink" Target="http://meadowwoodscommunity.com/" TargetMode="External"/><Relationship Id="rId5" Type="http://schemas.openxmlformats.org/officeDocument/2006/relationships/printerSettings" Target="../printerSettings/printerSettings5.bin"/><Relationship Id="rId4" Type="http://schemas.openxmlformats.org/officeDocument/2006/relationships/hyperlink" Target="http://www.pinetreevillage.coo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southmeadowvillage.com/" TargetMode="External"/><Relationship Id="rId2" Type="http://schemas.openxmlformats.org/officeDocument/2006/relationships/hyperlink" Target="http://www.cranberryvillage.coop/" TargetMode="External"/><Relationship Id="rId1" Type="http://schemas.openxmlformats.org/officeDocument/2006/relationships/hyperlink" Target="http://meadowwoodscommunity.com/" TargetMode="External"/><Relationship Id="rId5" Type="http://schemas.openxmlformats.org/officeDocument/2006/relationships/printerSettings" Target="../printerSettings/printerSettings6.bin"/><Relationship Id="rId4" Type="http://schemas.openxmlformats.org/officeDocument/2006/relationships/hyperlink" Target="http://www.pinetreevillage.coo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4"/>
  <sheetViews>
    <sheetView tabSelected="1" zoomScaleNormal="100" workbookViewId="0">
      <pane ySplit="3" topLeftCell="A4" activePane="bottomLeft" state="frozen"/>
      <selection sqref="A1:O1"/>
      <selection pane="bottomLeft" activeCell="A55" sqref="A55:XFD58"/>
    </sheetView>
  </sheetViews>
  <sheetFormatPr defaultRowHeight="15" x14ac:dyDescent="0.25"/>
  <cols>
    <col min="1" max="1" width="7.42578125" customWidth="1"/>
    <col min="2" max="2" width="9.140625" customWidth="1"/>
    <col min="3" max="3" width="8.5703125" customWidth="1"/>
    <col min="4" max="4" width="7" customWidth="1"/>
    <col min="5" max="5" width="8" customWidth="1"/>
    <col min="6" max="6" width="8" hidden="1" customWidth="1"/>
    <col min="7" max="7" width="8.140625" bestFit="1" customWidth="1"/>
    <col min="8" max="8" width="8.28515625" hidden="1" customWidth="1"/>
    <col min="9" max="10" width="7.140625" bestFit="1" customWidth="1"/>
    <col min="11" max="11" width="6.85546875" style="1" bestFit="1" customWidth="1"/>
    <col min="12" max="12" width="7.7109375" customWidth="1"/>
    <col min="13" max="13" width="7.5703125" bestFit="1" customWidth="1"/>
    <col min="14" max="14" width="10" bestFit="1" customWidth="1"/>
    <col min="15" max="15" width="8.7109375" customWidth="1"/>
    <col min="16" max="16" width="8.42578125" hidden="1" customWidth="1"/>
    <col min="17" max="17" width="13.28515625" hidden="1" customWidth="1"/>
    <col min="18" max="18" width="8.28515625" hidden="1" customWidth="1"/>
    <col min="19" max="19" width="6" hidden="1" customWidth="1"/>
    <col min="20" max="20" width="7.28515625" hidden="1" customWidth="1"/>
    <col min="21" max="21" width="11" hidden="1" customWidth="1"/>
    <col min="22" max="23" width="8.42578125" hidden="1" customWidth="1"/>
    <col min="24" max="24" width="9.140625" hidden="1" customWidth="1"/>
    <col min="25" max="25" width="8.28515625" customWidth="1"/>
    <col min="26" max="26" width="9.5703125" customWidth="1"/>
    <col min="27" max="27" width="7.42578125" customWidth="1"/>
    <col min="28" max="29" width="9.140625" customWidth="1"/>
    <col min="30" max="30" width="9.5703125" bestFit="1" customWidth="1"/>
  </cols>
  <sheetData>
    <row r="1" spans="1:30" s="38" customFormat="1" ht="21" x14ac:dyDescent="0.35">
      <c r="A1" s="376" t="s">
        <v>122</v>
      </c>
      <c r="B1" s="377"/>
      <c r="C1" s="377"/>
      <c r="D1" s="377"/>
      <c r="E1" s="377"/>
      <c r="F1" s="377"/>
      <c r="G1" s="377"/>
      <c r="H1" s="377"/>
      <c r="I1" s="377"/>
      <c r="J1" s="377"/>
      <c r="K1" s="377"/>
      <c r="L1" s="377"/>
      <c r="M1" s="377"/>
      <c r="N1" s="377"/>
      <c r="O1" s="378"/>
      <c r="Y1" s="288"/>
    </row>
    <row r="2" spans="1:30" ht="15.75" x14ac:dyDescent="0.25">
      <c r="A2" s="374" t="s">
        <v>0</v>
      </c>
      <c r="B2" s="375"/>
      <c r="C2" s="375"/>
      <c r="D2" s="375"/>
      <c r="E2" s="375"/>
      <c r="F2" s="375"/>
      <c r="G2" s="375"/>
      <c r="H2" s="375"/>
      <c r="I2" s="374" t="s">
        <v>2</v>
      </c>
      <c r="J2" s="375"/>
      <c r="K2" s="375"/>
      <c r="L2" s="375"/>
      <c r="M2" s="375"/>
      <c r="N2" s="375"/>
      <c r="O2" s="39">
        <v>52</v>
      </c>
      <c r="Y2" s="288"/>
    </row>
    <row r="3" spans="1:30" ht="77.25" x14ac:dyDescent="0.25">
      <c r="A3" s="287" t="s">
        <v>1</v>
      </c>
      <c r="B3" s="287" t="s">
        <v>4</v>
      </c>
      <c r="C3" s="287" t="s">
        <v>298</v>
      </c>
      <c r="D3" s="287" t="s">
        <v>312</v>
      </c>
      <c r="E3" s="287" t="s">
        <v>139</v>
      </c>
      <c r="F3" s="287" t="s">
        <v>127</v>
      </c>
      <c r="G3" s="287" t="s">
        <v>140</v>
      </c>
      <c r="H3" s="287" t="s">
        <v>128</v>
      </c>
      <c r="I3" s="287" t="s">
        <v>36</v>
      </c>
      <c r="J3" s="287" t="s">
        <v>37</v>
      </c>
      <c r="K3" s="287" t="s">
        <v>38</v>
      </c>
      <c r="L3" s="287" t="s">
        <v>299</v>
      </c>
      <c r="M3" s="287" t="s">
        <v>39</v>
      </c>
      <c r="N3" s="287" t="s">
        <v>258</v>
      </c>
      <c r="O3" s="287" t="s">
        <v>257</v>
      </c>
      <c r="P3" s="288"/>
      <c r="Q3" s="288"/>
      <c r="R3" s="288"/>
      <c r="S3" s="288"/>
      <c r="T3" s="288"/>
      <c r="U3" s="288"/>
      <c r="V3" s="288"/>
      <c r="W3" s="288"/>
      <c r="X3" s="288"/>
      <c r="Y3" s="287" t="s">
        <v>138</v>
      </c>
      <c r="Z3" s="287" t="s">
        <v>324</v>
      </c>
      <c r="AA3" s="287" t="s">
        <v>313</v>
      </c>
      <c r="AB3" s="1" t="s">
        <v>311</v>
      </c>
      <c r="AC3" s="353" t="s">
        <v>310</v>
      </c>
    </row>
    <row r="4" spans="1:30" x14ac:dyDescent="0.25">
      <c r="A4" s="330" t="s">
        <v>243</v>
      </c>
      <c r="B4" s="331" t="s">
        <v>242</v>
      </c>
      <c r="C4" s="332">
        <f>+C5</f>
        <v>18.820689655172412</v>
      </c>
      <c r="D4" s="333" t="s">
        <v>115</v>
      </c>
      <c r="E4" s="332">
        <f>+G4</f>
        <v>18.820689655172412</v>
      </c>
      <c r="F4" s="333">
        <f>+E4/E$11-1</f>
        <v>0.15181699236061275</v>
      </c>
      <c r="G4" s="332">
        <f>+C4</f>
        <v>18.820689655172412</v>
      </c>
      <c r="H4" s="333">
        <f>+G4/G$11-1</f>
        <v>-0.17089472884703027</v>
      </c>
      <c r="I4" s="334">
        <f t="shared" ref="I4:I42" si="0">+E4/C4</f>
        <v>1</v>
      </c>
      <c r="J4" s="334">
        <f t="shared" ref="J4:J42" si="1">+G4/C4</f>
        <v>1</v>
      </c>
      <c r="K4" s="379" t="s">
        <v>179</v>
      </c>
      <c r="L4" s="380"/>
      <c r="M4" s="335">
        <f t="shared" ref="M4:M9" si="2">+J4/I4</f>
        <v>1</v>
      </c>
      <c r="N4" s="336">
        <f>+N5/E5*C5</f>
        <v>6029.0230356962275</v>
      </c>
      <c r="O4" s="333">
        <f>+N4/N6-1</f>
        <v>0.15806010512514579</v>
      </c>
      <c r="P4" s="337" t="s">
        <v>161</v>
      </c>
      <c r="Q4" s="337" t="s">
        <v>160</v>
      </c>
      <c r="R4" s="337" t="s">
        <v>159</v>
      </c>
      <c r="S4" s="337"/>
      <c r="T4" s="337"/>
      <c r="U4" s="337"/>
      <c r="V4" s="337"/>
      <c r="W4" s="337"/>
      <c r="X4" s="337"/>
      <c r="Y4" s="336">
        <f>+N4-N6</f>
        <v>822.88303569622713</v>
      </c>
      <c r="Z4" s="336">
        <f>+N4/E4*1000</f>
        <v>320340.17595307913</v>
      </c>
      <c r="AA4" s="338">
        <f>(+Z4-100000)/1000*E4*0.03</f>
        <v>124.40862210536956</v>
      </c>
      <c r="AB4" s="336">
        <f>+AA4+N4</f>
        <v>6153.4316578015969</v>
      </c>
      <c r="AC4" s="333">
        <f>+AB4/AB6-1</f>
        <v>0.15896184527564095</v>
      </c>
    </row>
    <row r="5" spans="1:30" x14ac:dyDescent="0.25">
      <c r="A5" s="122" t="s">
        <v>251</v>
      </c>
      <c r="B5" s="123" t="s">
        <v>242</v>
      </c>
      <c r="C5" s="124">
        <f>+G5/1.45</f>
        <v>18.820689655172412</v>
      </c>
      <c r="D5" s="125">
        <f t="shared" ref="D5:D41" si="3">+C5/C6-1</f>
        <v>-2.9861357980803582E-2</v>
      </c>
      <c r="E5" s="124">
        <v>17.05</v>
      </c>
      <c r="F5" s="126">
        <f>+E5/E7-1</f>
        <v>-3.6178631995477661E-2</v>
      </c>
      <c r="G5" s="124">
        <v>27.29</v>
      </c>
      <c r="H5" s="125">
        <f>+G5/G7-1</f>
        <v>-7.3233247894544107E-4</v>
      </c>
      <c r="I5" s="127">
        <f t="shared" si="0"/>
        <v>0.90591791865152083</v>
      </c>
      <c r="J5" s="127">
        <f t="shared" si="1"/>
        <v>1.4500000000000002</v>
      </c>
      <c r="K5" s="125">
        <f t="shared" ref="K5" si="4">+E5/C5-1</f>
        <v>-9.4082081348479174E-2</v>
      </c>
      <c r="L5" s="128">
        <f t="shared" ref="L5" si="5">ROUND((-N5/E5*C5+N5),2)</f>
        <v>-567.22</v>
      </c>
      <c r="M5" s="129">
        <f t="shared" ref="M5" si="6">+J5/I5</f>
        <v>1.6005865102639296</v>
      </c>
      <c r="N5" s="130">
        <f>ROUND(320340/1000*E5,2)</f>
        <v>5461.8</v>
      </c>
      <c r="O5" s="125">
        <f t="shared" ref="O5:O10" si="7">+N5/N6-1</f>
        <v>4.9107400108333588E-2</v>
      </c>
      <c r="Y5" s="104">
        <f>+N5-N6</f>
        <v>255.65999999999985</v>
      </c>
      <c r="Z5" s="130">
        <f>+N5/E5*1000</f>
        <v>320340.17595307913</v>
      </c>
      <c r="AA5" s="292">
        <f t="shared" ref="AA5:AA17" si="8">(+Z5-100000)/1000*E5*0.03</f>
        <v>112.70399999999998</v>
      </c>
      <c r="AB5" s="86">
        <f>+AA5+N5</f>
        <v>5574.5039999999999</v>
      </c>
      <c r="AC5" s="300">
        <f t="shared" ref="AC5:AC15" si="9">+AB5/AB6-1</f>
        <v>4.9924302668634457E-2</v>
      </c>
      <c r="AD5" s="120"/>
    </row>
    <row r="6" spans="1:30" x14ac:dyDescent="0.25">
      <c r="A6" s="339">
        <v>2018</v>
      </c>
      <c r="B6" s="64" t="s">
        <v>212</v>
      </c>
      <c r="C6" s="87">
        <f>+G6/1.4</f>
        <v>19.400000000000002</v>
      </c>
      <c r="D6" s="65">
        <f t="shared" si="3"/>
        <v>-5.6381342901076215E-3</v>
      </c>
      <c r="E6" s="87">
        <v>17.63</v>
      </c>
      <c r="F6" s="88">
        <f t="shared" ref="F6" si="10">+E6/E8-1</f>
        <v>3.523194362889015E-2</v>
      </c>
      <c r="G6" s="87">
        <v>27.16</v>
      </c>
      <c r="H6" s="65">
        <f t="shared" ref="H6" si="11">+G6/G8-1</f>
        <v>3.427265803503432E-2</v>
      </c>
      <c r="I6" s="73">
        <f t="shared" ref="I6" si="12">+E6/C6</f>
        <v>0.90876288659793802</v>
      </c>
      <c r="J6" s="73">
        <f t="shared" ref="J6" si="13">+G6/C6</f>
        <v>1.4</v>
      </c>
      <c r="K6" s="65">
        <f t="shared" ref="K6" si="14">+E6/C6-1</f>
        <v>-9.1237113402061976E-2</v>
      </c>
      <c r="L6" s="104">
        <f t="shared" ref="L6" si="15">ROUND((-N6/E6*C6+N6),2)</f>
        <v>-522.67999999999995</v>
      </c>
      <c r="M6" s="66">
        <f t="shared" ref="M6" si="16">+J6/I6</f>
        <v>1.540555870674986</v>
      </c>
      <c r="N6" s="111">
        <f>ROUND(295300/1000*E6,2)</f>
        <v>5206.1400000000003</v>
      </c>
      <c r="O6" s="65">
        <f t="shared" si="7"/>
        <v>4.4000866300895281E-2</v>
      </c>
      <c r="Y6" s="104">
        <f t="shared" ref="Y6:Y41" si="17">+N6-N7</f>
        <v>219.42000000000007</v>
      </c>
      <c r="Z6" s="111">
        <f t="shared" ref="Z6:Z42" si="18">+N6/E6*1000</f>
        <v>295300.05672149744</v>
      </c>
      <c r="AA6" s="293">
        <f t="shared" si="8"/>
        <v>103.29419999999999</v>
      </c>
      <c r="AB6" s="86">
        <f t="shared" ref="AB6:AB17" si="19">+AA6+N6</f>
        <v>5309.4342000000006</v>
      </c>
      <c r="AC6" s="300">
        <f t="shared" si="9"/>
        <v>4.4495653136665592E-2</v>
      </c>
    </row>
    <row r="7" spans="1:30" x14ac:dyDescent="0.25">
      <c r="A7" s="63">
        <v>2017</v>
      </c>
      <c r="B7" s="64" t="s">
        <v>162</v>
      </c>
      <c r="C7" s="87">
        <v>19.510000000000002</v>
      </c>
      <c r="D7" s="65">
        <f t="shared" si="3"/>
        <v>4.0771588007497028E-2</v>
      </c>
      <c r="E7" s="87">
        <v>17.690000000000001</v>
      </c>
      <c r="F7" s="88">
        <f t="shared" ref="F7:F12" si="20">+E7/E8-1</f>
        <v>3.8755137991779209E-2</v>
      </c>
      <c r="G7" s="87">
        <v>27.31</v>
      </c>
      <c r="H7" s="65">
        <f t="shared" ref="H7:H12" si="21">+G7/G8-1</f>
        <v>3.9984767707539781E-2</v>
      </c>
      <c r="I7" s="73">
        <f t="shared" ref="I7" si="22">+E7/C7</f>
        <v>0.9067145053818555</v>
      </c>
      <c r="J7" s="73">
        <f t="shared" ref="J7" si="23">+G7/C7</f>
        <v>1.399794976934905</v>
      </c>
      <c r="K7" s="65">
        <f t="shared" ref="K7" si="24">+E7/C7-1</f>
        <v>-9.3285494618144504E-2</v>
      </c>
      <c r="L7" s="104">
        <f t="shared" ref="L7" si="25">ROUND((-N7/E7*C7+N7),2)</f>
        <v>-513.04999999999995</v>
      </c>
      <c r="M7" s="66">
        <f t="shared" si="2"/>
        <v>1.5438100621820234</v>
      </c>
      <c r="N7" s="111">
        <f>ROUND(281895/1000*E7,2)</f>
        <v>4986.72</v>
      </c>
      <c r="O7" s="65">
        <f t="shared" si="7"/>
        <v>9.522178003847892E-2</v>
      </c>
      <c r="P7" s="86">
        <f>+N7-N8</f>
        <v>433.5600000000004</v>
      </c>
      <c r="Q7" s="119">
        <f>+N7/25*3</f>
        <v>598.40640000000008</v>
      </c>
      <c r="R7" s="119">
        <f>+P7/25*3</f>
        <v>52.02720000000005</v>
      </c>
      <c r="S7" s="121">
        <f>181100*17.03/1000*0.03</f>
        <v>92.523989999999998</v>
      </c>
      <c r="T7" s="119">
        <f>10*3</f>
        <v>30</v>
      </c>
      <c r="U7" s="119">
        <f>+T7+Q7</f>
        <v>628.40640000000008</v>
      </c>
      <c r="V7" s="119">
        <v>108</v>
      </c>
      <c r="W7" s="119">
        <f>+V7+U7</f>
        <v>736.40640000000008</v>
      </c>
      <c r="X7" s="120">
        <f>181800/1000*E7*0.03</f>
        <v>96.481260000000006</v>
      </c>
      <c r="Y7" s="104">
        <f t="shared" si="17"/>
        <v>433.5600000000004</v>
      </c>
      <c r="Z7" s="111">
        <f t="shared" si="18"/>
        <v>281894.8558507631</v>
      </c>
      <c r="AA7" s="293">
        <f t="shared" si="8"/>
        <v>96.531599999999983</v>
      </c>
      <c r="AB7" s="86">
        <f t="shared" si="19"/>
        <v>5083.2516000000005</v>
      </c>
      <c r="AC7" s="300">
        <f t="shared" si="9"/>
        <v>9.5843700540724885E-2</v>
      </c>
    </row>
    <row r="8" spans="1:30" x14ac:dyDescent="0.25">
      <c r="A8" s="63">
        <v>2016</v>
      </c>
      <c r="B8" s="64" t="s">
        <v>158</v>
      </c>
      <c r="C8" s="87">
        <f>+G8/J9-0.01</f>
        <v>18.745707727620506</v>
      </c>
      <c r="D8" s="65">
        <f t="shared" si="3"/>
        <v>4.055047006989998E-3</v>
      </c>
      <c r="E8" s="87">
        <v>17.03</v>
      </c>
      <c r="F8" s="88">
        <f t="shared" si="20"/>
        <v>1.1757789535566943E-3</v>
      </c>
      <c r="G8" s="87">
        <v>26.26</v>
      </c>
      <c r="H8" s="65">
        <f t="shared" si="21"/>
        <v>4.5906656465188878E-3</v>
      </c>
      <c r="I8" s="73">
        <f t="shared" si="0"/>
        <v>0.90847463576461684</v>
      </c>
      <c r="J8" s="73">
        <f t="shared" si="1"/>
        <v>1.4008540185072718</v>
      </c>
      <c r="K8" s="65">
        <f t="shared" ref="K8:K42" si="26">+E8/C8-1</f>
        <v>-9.1525364235383155E-2</v>
      </c>
      <c r="L8" s="104">
        <f t="shared" ref="L8:L16" si="27">ROUND((-N8/E8*C8+N8),2)</f>
        <v>-458.71</v>
      </c>
      <c r="M8" s="66">
        <f t="shared" ref="M8" si="28">+J8/I8</f>
        <v>1.5419847328244274</v>
      </c>
      <c r="N8" s="111">
        <f>ROUND(267361/1000*E8,2)</f>
        <v>4553.16</v>
      </c>
      <c r="O8" s="65">
        <f t="shared" si="7"/>
        <v>3.3233409958903559E-2</v>
      </c>
      <c r="P8" s="86">
        <f>+N8-N9</f>
        <v>146.44999999999982</v>
      </c>
      <c r="Q8" s="119">
        <f>+N8/25*3</f>
        <v>546.37919999999997</v>
      </c>
      <c r="R8" s="119">
        <f>+P8/25*3</f>
        <v>17.573999999999977</v>
      </c>
      <c r="S8" s="121">
        <f>167361*17.03/1000*0.03</f>
        <v>85.504734900000003</v>
      </c>
      <c r="T8" s="119">
        <f>10*3</f>
        <v>30</v>
      </c>
      <c r="U8" s="119">
        <f>+T8+Q8</f>
        <v>576.37919999999997</v>
      </c>
      <c r="V8" s="119">
        <v>108</v>
      </c>
      <c r="W8" s="119">
        <f>+V8+U8</f>
        <v>684.37919999999997</v>
      </c>
      <c r="Y8" s="104">
        <f t="shared" si="17"/>
        <v>146.44999999999982</v>
      </c>
      <c r="Z8" s="111">
        <f t="shared" si="18"/>
        <v>267361.12742219609</v>
      </c>
      <c r="AA8" s="293">
        <f t="shared" si="8"/>
        <v>85.504799999999975</v>
      </c>
      <c r="AB8" s="86">
        <f t="shared" si="19"/>
        <v>4638.6647999999996</v>
      </c>
      <c r="AC8" s="300">
        <f t="shared" si="9"/>
        <v>3.3597925150114616E-2</v>
      </c>
    </row>
    <row r="9" spans="1:30" x14ac:dyDescent="0.25">
      <c r="A9" s="339">
        <v>2015</v>
      </c>
      <c r="B9" s="64" t="s">
        <v>142</v>
      </c>
      <c r="C9" s="87">
        <v>18.670000000000002</v>
      </c>
      <c r="D9" s="65">
        <f t="shared" si="3"/>
        <v>2.6388125343595359E-2</v>
      </c>
      <c r="E9" s="87">
        <v>17.010000000000002</v>
      </c>
      <c r="F9" s="88">
        <f t="shared" si="20"/>
        <v>0</v>
      </c>
      <c r="G9" s="87">
        <v>26.14</v>
      </c>
      <c r="H9" s="65">
        <f t="shared" si="21"/>
        <v>0.10575296108291021</v>
      </c>
      <c r="I9" s="73">
        <f t="shared" si="0"/>
        <v>0.91108730583824316</v>
      </c>
      <c r="J9" s="73">
        <f t="shared" si="1"/>
        <v>1.4001071237279057</v>
      </c>
      <c r="K9" s="65">
        <f t="shared" si="26"/>
        <v>-8.8912694161756844E-2</v>
      </c>
      <c r="L9" s="104">
        <f t="shared" si="27"/>
        <v>-430.05</v>
      </c>
      <c r="M9" s="66">
        <f t="shared" si="2"/>
        <v>1.5367430922986478</v>
      </c>
      <c r="N9" s="111">
        <f>ROUND(259066/1000*E9,2)</f>
        <v>4406.71</v>
      </c>
      <c r="O9" s="65">
        <f t="shared" si="7"/>
        <v>1.6741460263258068E-2</v>
      </c>
      <c r="P9" s="86">
        <f t="shared" ref="P9:P23" si="29">+N9-N10</f>
        <v>72.5600000000004</v>
      </c>
      <c r="Y9" s="104">
        <f t="shared" si="17"/>
        <v>72.5600000000004</v>
      </c>
      <c r="Z9" s="111">
        <f t="shared" si="18"/>
        <v>259065.84362139917</v>
      </c>
      <c r="AA9" s="293">
        <f t="shared" si="8"/>
        <v>81.171300000000002</v>
      </c>
      <c r="AB9" s="86">
        <f t="shared" si="19"/>
        <v>4487.8813</v>
      </c>
      <c r="AC9" s="300">
        <f t="shared" si="9"/>
        <v>1.6935044841609015E-2</v>
      </c>
      <c r="AD9" s="119"/>
    </row>
    <row r="10" spans="1:30" x14ac:dyDescent="0.25">
      <c r="A10" s="63">
        <v>2014</v>
      </c>
      <c r="B10" s="64" t="s">
        <v>126</v>
      </c>
      <c r="C10" s="87">
        <v>18.190000000000001</v>
      </c>
      <c r="D10" s="65">
        <f t="shared" si="3"/>
        <v>4.1809851088201677E-2</v>
      </c>
      <c r="E10" s="87">
        <v>17.010000000000002</v>
      </c>
      <c r="F10" s="88">
        <f t="shared" si="20"/>
        <v>4.1003671970624378E-2</v>
      </c>
      <c r="G10" s="87">
        <v>23.64</v>
      </c>
      <c r="H10" s="65">
        <f t="shared" si="21"/>
        <v>4.1409691629956003E-2</v>
      </c>
      <c r="I10" s="73">
        <f t="shared" si="0"/>
        <v>0.93512919186366139</v>
      </c>
      <c r="J10" s="73">
        <f t="shared" si="1"/>
        <v>1.2996151731720724</v>
      </c>
      <c r="K10" s="65">
        <f t="shared" si="26"/>
        <v>-6.4870808136338609E-2</v>
      </c>
      <c r="L10" s="104">
        <f t="shared" si="27"/>
        <v>-300.66000000000003</v>
      </c>
      <c r="M10" s="66">
        <f t="shared" ref="M10" si="30">+J10/I10</f>
        <v>1.3897707231040561</v>
      </c>
      <c r="N10" s="111">
        <f>ROUND(254800/1000*E10,2)</f>
        <v>4334.1499999999996</v>
      </c>
      <c r="O10" s="65">
        <f t="shared" si="7"/>
        <v>4.2911708093652745E-2</v>
      </c>
      <c r="P10" s="86">
        <f t="shared" si="29"/>
        <v>178.33319751877207</v>
      </c>
      <c r="R10" s="120"/>
      <c r="Y10" s="104">
        <f t="shared" si="17"/>
        <v>178.33319751877207</v>
      </c>
      <c r="Z10" s="111">
        <f t="shared" si="18"/>
        <v>254800.11757789532</v>
      </c>
      <c r="AA10" s="293">
        <f t="shared" si="8"/>
        <v>78.994499999999988</v>
      </c>
      <c r="AB10" s="86">
        <f t="shared" si="19"/>
        <v>4413.1444999999994</v>
      </c>
      <c r="AC10" s="300">
        <f t="shared" si="9"/>
        <v>4.2933811972888813E-2</v>
      </c>
    </row>
    <row r="11" spans="1:30" x14ac:dyDescent="0.25">
      <c r="A11" s="63">
        <v>2013</v>
      </c>
      <c r="B11" s="64" t="s">
        <v>5</v>
      </c>
      <c r="C11" s="87">
        <v>17.46</v>
      </c>
      <c r="D11" s="65">
        <f t="shared" si="3"/>
        <v>5.8823529411764941E-2</v>
      </c>
      <c r="E11" s="87">
        <v>16.34</v>
      </c>
      <c r="F11" s="88">
        <f t="shared" si="20"/>
        <v>5.6237879767291554E-2</v>
      </c>
      <c r="G11" s="87">
        <v>22.7</v>
      </c>
      <c r="H11" s="65">
        <f t="shared" si="21"/>
        <v>5.9262715818945377E-2</v>
      </c>
      <c r="I11" s="73">
        <f t="shared" si="0"/>
        <v>0.93585337915234812</v>
      </c>
      <c r="J11" s="73">
        <f t="shared" si="1"/>
        <v>1.3001145475372278</v>
      </c>
      <c r="K11" s="65">
        <f t="shared" si="26"/>
        <v>-6.4146620847651881E-2</v>
      </c>
      <c r="L11" s="104">
        <f t="shared" si="27"/>
        <v>-284.85000000000002</v>
      </c>
      <c r="M11" s="66">
        <f>+J11/I11</f>
        <v>1.3892288861689106</v>
      </c>
      <c r="N11" s="111">
        <v>4155.8168024812276</v>
      </c>
      <c r="O11" s="65">
        <f>+N11/N12-1</f>
        <v>2.6120563564105082E-2</v>
      </c>
      <c r="P11" s="86">
        <f t="shared" si="29"/>
        <v>105.78900843088422</v>
      </c>
      <c r="Y11" s="104">
        <f t="shared" si="17"/>
        <v>105.78900843088422</v>
      </c>
      <c r="Z11" s="111">
        <f t="shared" si="18"/>
        <v>254333.953640222</v>
      </c>
      <c r="AA11" s="293">
        <f t="shared" si="8"/>
        <v>75.654504074436829</v>
      </c>
      <c r="AB11" s="86">
        <f t="shared" si="19"/>
        <v>4231.4713065556643</v>
      </c>
      <c r="AC11" s="300">
        <f t="shared" si="9"/>
        <v>2.5781726121820281E-2</v>
      </c>
    </row>
    <row r="12" spans="1:30" x14ac:dyDescent="0.25">
      <c r="A12" s="340">
        <v>2012</v>
      </c>
      <c r="B12" s="9" t="s">
        <v>6</v>
      </c>
      <c r="C12" s="89">
        <v>16.489999999999998</v>
      </c>
      <c r="D12" s="22">
        <f t="shared" si="3"/>
        <v>4.8315321042593729E-2</v>
      </c>
      <c r="E12" s="89">
        <v>15.47</v>
      </c>
      <c r="F12" s="90">
        <f t="shared" si="20"/>
        <v>4.6684709066305841E-2</v>
      </c>
      <c r="G12" s="89">
        <v>21.43</v>
      </c>
      <c r="H12" s="22">
        <f t="shared" si="21"/>
        <v>4.7921760391198109E-2</v>
      </c>
      <c r="I12" s="74">
        <f t="shared" si="0"/>
        <v>0.93814432989690733</v>
      </c>
      <c r="J12" s="74">
        <f t="shared" si="1"/>
        <v>1.2995755003032141</v>
      </c>
      <c r="K12" s="22">
        <f t="shared" si="26"/>
        <v>-6.1855670103092675E-2</v>
      </c>
      <c r="L12" s="104">
        <f t="shared" si="27"/>
        <v>-267.02999999999997</v>
      </c>
      <c r="M12" s="23">
        <f>+J12/I12</f>
        <v>1.3852617970265029</v>
      </c>
      <c r="N12" s="112">
        <v>4050.0277940503433</v>
      </c>
      <c r="O12" s="22">
        <f t="shared" ref="O12:O40" si="31">+N12/N13-1</f>
        <v>2.7451812070263815E-2</v>
      </c>
      <c r="P12" s="86">
        <f t="shared" si="29"/>
        <v>108.21004019409156</v>
      </c>
      <c r="T12">
        <v>316800</v>
      </c>
      <c r="U12" s="120">
        <f>+T12/1000*E7</f>
        <v>5604.1920000000009</v>
      </c>
      <c r="Y12" s="104">
        <f t="shared" si="17"/>
        <v>108.21004019409156</v>
      </c>
      <c r="Z12" s="112">
        <f t="shared" si="18"/>
        <v>261798.8231448186</v>
      </c>
      <c r="AA12" s="118">
        <f t="shared" si="8"/>
        <v>75.090833821510316</v>
      </c>
      <c r="AB12" s="86">
        <f t="shared" si="19"/>
        <v>4125.1186278718533</v>
      </c>
      <c r="AC12" s="300">
        <f t="shared" si="9"/>
        <v>2.7239450639777729E-2</v>
      </c>
    </row>
    <row r="13" spans="1:30" x14ac:dyDescent="0.25">
      <c r="A13" s="4">
        <v>2011</v>
      </c>
      <c r="B13" s="10" t="s">
        <v>35</v>
      </c>
      <c r="C13" s="91">
        <v>15.73</v>
      </c>
      <c r="D13" s="24">
        <f t="shared" si="3"/>
        <v>9.7697138869504485E-2</v>
      </c>
      <c r="E13" s="91">
        <v>14.78</v>
      </c>
      <c r="F13" s="92">
        <f t="shared" ref="F13:F41" si="32">+E13/E14-1</f>
        <v>9.5626389918457955E-2</v>
      </c>
      <c r="G13" s="91">
        <v>20.45</v>
      </c>
      <c r="H13" s="24">
        <f t="shared" ref="H13:H41" si="33">+G13/G14-1</f>
        <v>5.7394002068252403E-2</v>
      </c>
      <c r="I13" s="75">
        <f t="shared" si="0"/>
        <v>0.93960584869675767</v>
      </c>
      <c r="J13" s="75">
        <f t="shared" si="1"/>
        <v>1.3000635727908454</v>
      </c>
      <c r="K13" s="24">
        <f t="shared" si="26"/>
        <v>-6.0394151303242327E-2</v>
      </c>
      <c r="L13" s="104">
        <f t="shared" si="27"/>
        <v>-253.36</v>
      </c>
      <c r="M13" s="25">
        <f t="shared" ref="M13:M47" si="34">+J13/I13</f>
        <v>1.3836265223274695</v>
      </c>
      <c r="N13" s="112">
        <v>3941.8177538562518</v>
      </c>
      <c r="O13" s="24">
        <f t="shared" si="31"/>
        <v>3.3611295725841872E-2</v>
      </c>
      <c r="P13" s="86">
        <f t="shared" si="29"/>
        <v>128.18126385625146</v>
      </c>
      <c r="T13">
        <v>288400</v>
      </c>
      <c r="U13" s="120">
        <f>+T13/1000*E8</f>
        <v>4911.4520000000002</v>
      </c>
      <c r="Y13" s="104">
        <f t="shared" si="17"/>
        <v>128.18126385625146</v>
      </c>
      <c r="Z13" s="112">
        <f t="shared" si="18"/>
        <v>266699.44207417133</v>
      </c>
      <c r="AA13" s="118">
        <f t="shared" si="8"/>
        <v>73.914532615687548</v>
      </c>
      <c r="AB13" s="86">
        <f t="shared" si="19"/>
        <v>4015.7322864719395</v>
      </c>
      <c r="AC13" s="300">
        <f t="shared" si="9"/>
        <v>3.2965713200873603E-2</v>
      </c>
    </row>
    <row r="14" spans="1:30" x14ac:dyDescent="0.25">
      <c r="A14" s="4">
        <v>2010</v>
      </c>
      <c r="B14" s="10" t="s">
        <v>34</v>
      </c>
      <c r="C14" s="91">
        <v>14.33</v>
      </c>
      <c r="D14" s="24">
        <f t="shared" si="3"/>
        <v>8.8905775075987847E-2</v>
      </c>
      <c r="E14" s="91">
        <v>13.49</v>
      </c>
      <c r="F14" s="92">
        <f t="shared" si="32"/>
        <v>9.2307692307692424E-2</v>
      </c>
      <c r="G14" s="91">
        <v>19.34</v>
      </c>
      <c r="H14" s="24">
        <f t="shared" si="33"/>
        <v>4.9376017362995128E-2</v>
      </c>
      <c r="I14" s="75">
        <f t="shared" si="0"/>
        <v>0.94138171667829729</v>
      </c>
      <c r="J14" s="75">
        <f t="shared" si="1"/>
        <v>1.3496161898115842</v>
      </c>
      <c r="K14" s="24">
        <f t="shared" si="26"/>
        <v>-5.8618283321702713E-2</v>
      </c>
      <c r="L14" s="104">
        <f t="shared" si="27"/>
        <v>-237.47</v>
      </c>
      <c r="M14" s="25">
        <f t="shared" si="34"/>
        <v>1.4336545589325427</v>
      </c>
      <c r="N14" s="112">
        <v>3813.6364900000003</v>
      </c>
      <c r="O14" s="24">
        <f t="shared" si="31"/>
        <v>2.2769049367310057E-2</v>
      </c>
      <c r="P14" s="86">
        <f t="shared" si="29"/>
        <v>84.899790000000394</v>
      </c>
      <c r="U14" s="120">
        <f>+U12-U13</f>
        <v>692.74000000000069</v>
      </c>
      <c r="Y14" s="104">
        <f t="shared" si="17"/>
        <v>84.899790000000394</v>
      </c>
      <c r="Z14" s="112">
        <f t="shared" si="18"/>
        <v>282701</v>
      </c>
      <c r="AA14" s="118">
        <f t="shared" si="8"/>
        <v>73.939094699999998</v>
      </c>
      <c r="AB14" s="86">
        <f t="shared" si="19"/>
        <v>3887.5755847000005</v>
      </c>
      <c r="AC14" s="300">
        <f t="shared" si="9"/>
        <v>2.2091680190328811E-2</v>
      </c>
    </row>
    <row r="15" spans="1:30" x14ac:dyDescent="0.25">
      <c r="A15" s="340">
        <v>2009</v>
      </c>
      <c r="B15" s="10" t="s">
        <v>33</v>
      </c>
      <c r="C15" s="91">
        <v>13.16</v>
      </c>
      <c r="D15" s="24">
        <f t="shared" si="3"/>
        <v>9.1210613598673218E-2</v>
      </c>
      <c r="E15" s="91">
        <v>12.35</v>
      </c>
      <c r="F15" s="92">
        <f t="shared" si="32"/>
        <v>9.002647837599298E-2</v>
      </c>
      <c r="G15" s="91">
        <v>18.43</v>
      </c>
      <c r="H15" s="24">
        <f t="shared" si="33"/>
        <v>5.3744997141223605E-2</v>
      </c>
      <c r="I15" s="75">
        <f t="shared" si="0"/>
        <v>0.93844984802431608</v>
      </c>
      <c r="J15" s="75">
        <f t="shared" si="1"/>
        <v>1.4004559270516717</v>
      </c>
      <c r="K15" s="24">
        <f t="shared" si="26"/>
        <v>-6.155015197568392E-2</v>
      </c>
      <c r="L15" s="104">
        <f t="shared" si="27"/>
        <v>-244.56</v>
      </c>
      <c r="M15" s="25">
        <f t="shared" si="34"/>
        <v>1.4923076923076923</v>
      </c>
      <c r="N15" s="112">
        <v>3728.7366999999999</v>
      </c>
      <c r="O15" s="24">
        <f t="shared" si="31"/>
        <v>1.1556954980548317E-2</v>
      </c>
      <c r="P15" s="86">
        <f t="shared" si="29"/>
        <v>42.600509999999758</v>
      </c>
      <c r="U15" s="132">
        <f>+U12/U13-1</f>
        <v>0.14104586586614309</v>
      </c>
      <c r="Y15" s="104">
        <f t="shared" si="17"/>
        <v>42.600509999999758</v>
      </c>
      <c r="Z15" s="112">
        <f t="shared" si="18"/>
        <v>301922</v>
      </c>
      <c r="AA15" s="118">
        <f t="shared" si="8"/>
        <v>74.812100999999998</v>
      </c>
      <c r="AB15" s="86">
        <f t="shared" si="19"/>
        <v>3803.5488009999999</v>
      </c>
      <c r="AC15" s="300">
        <f t="shared" si="9"/>
        <v>1.0848113552972105E-2</v>
      </c>
    </row>
    <row r="16" spans="1:30" ht="15.75" thickBot="1" x14ac:dyDescent="0.3">
      <c r="A16" s="5">
        <v>2008</v>
      </c>
      <c r="B16" s="11" t="s">
        <v>32</v>
      </c>
      <c r="C16" s="93">
        <v>12.06</v>
      </c>
      <c r="D16" s="26">
        <f t="shared" si="3"/>
        <v>2.4638912489379772E-2</v>
      </c>
      <c r="E16" s="93">
        <v>11.33</v>
      </c>
      <c r="F16" s="94">
        <f t="shared" si="32"/>
        <v>2.8130671506352067E-2</v>
      </c>
      <c r="G16" s="93">
        <v>17.489999999999998</v>
      </c>
      <c r="H16" s="26">
        <f t="shared" si="33"/>
        <v>-9.0651558073654437E-3</v>
      </c>
      <c r="I16" s="76">
        <f t="shared" si="0"/>
        <v>0.93946932006633499</v>
      </c>
      <c r="J16" s="76">
        <f t="shared" si="1"/>
        <v>1.4502487562189053</v>
      </c>
      <c r="K16" s="26">
        <f t="shared" si="26"/>
        <v>-6.053067993366501E-2</v>
      </c>
      <c r="L16" s="270">
        <f t="shared" si="27"/>
        <v>-237.5</v>
      </c>
      <c r="M16" s="27">
        <f t="shared" si="34"/>
        <v>1.5436893203883493</v>
      </c>
      <c r="N16" s="113">
        <v>3686.1361900000002</v>
      </c>
      <c r="O16" s="26">
        <f t="shared" si="31"/>
        <v>-1.2744147775052506E-2</v>
      </c>
      <c r="P16" s="86">
        <f t="shared" si="29"/>
        <v>-47.58306999999968</v>
      </c>
      <c r="T16">
        <v>476100</v>
      </c>
      <c r="U16" s="120">
        <f>+T16/1000*E7</f>
        <v>8422.2090000000007</v>
      </c>
      <c r="Y16" s="104">
        <f t="shared" si="17"/>
        <v>-47.58306999999968</v>
      </c>
      <c r="Z16" s="113">
        <f t="shared" si="18"/>
        <v>325343</v>
      </c>
      <c r="AA16" s="294">
        <f t="shared" si="8"/>
        <v>76.594085699999994</v>
      </c>
      <c r="AB16" s="86">
        <f t="shared" si="19"/>
        <v>3762.7302757000002</v>
      </c>
      <c r="AC16" s="300">
        <f>+AB16/AB17-1</f>
        <v>-1.3098576883394553E-2</v>
      </c>
    </row>
    <row r="17" spans="1:29" ht="15.75" thickBot="1" x14ac:dyDescent="0.3">
      <c r="A17" s="28">
        <v>2007</v>
      </c>
      <c r="B17" s="12" t="s">
        <v>31</v>
      </c>
      <c r="C17" s="95">
        <v>11.77</v>
      </c>
      <c r="D17" s="29">
        <f t="shared" si="3"/>
        <v>-1.3411567476948827E-2</v>
      </c>
      <c r="E17" s="95">
        <v>11.02</v>
      </c>
      <c r="F17" s="96">
        <f t="shared" si="32"/>
        <v>-2.821869488536155E-2</v>
      </c>
      <c r="G17" s="95">
        <v>17.649999999999999</v>
      </c>
      <c r="H17" s="29">
        <f t="shared" si="33"/>
        <v>5.6886227544910239E-2</v>
      </c>
      <c r="I17" s="77">
        <f t="shared" si="0"/>
        <v>0.93627867459643155</v>
      </c>
      <c r="J17" s="77">
        <f t="shared" si="1"/>
        <v>1.4995751911639761</v>
      </c>
      <c r="K17" s="29">
        <f t="shared" si="26"/>
        <v>-6.3721325403568452E-2</v>
      </c>
      <c r="L17" s="105">
        <v>-253.82900999999993</v>
      </c>
      <c r="M17" s="30">
        <f t="shared" si="34"/>
        <v>1.601633393829401</v>
      </c>
      <c r="N17" s="114">
        <v>3733.7192599999998</v>
      </c>
      <c r="O17" s="29">
        <f t="shared" si="31"/>
        <v>4.1106899971560473E-2</v>
      </c>
      <c r="P17" s="271">
        <f t="shared" si="29"/>
        <v>147.42157999999972</v>
      </c>
      <c r="Q17" s="272"/>
      <c r="R17" s="272"/>
      <c r="S17" s="272"/>
      <c r="T17" s="272">
        <v>450500</v>
      </c>
      <c r="U17" s="273">
        <f>+T17/1000*E8</f>
        <v>7672.0150000000003</v>
      </c>
      <c r="V17" s="272"/>
      <c r="W17" s="272"/>
      <c r="X17" s="272"/>
      <c r="Y17" s="105">
        <f t="shared" si="17"/>
        <v>147.42157999999972</v>
      </c>
      <c r="Z17" s="114">
        <f t="shared" si="18"/>
        <v>338813</v>
      </c>
      <c r="AA17" s="274">
        <f t="shared" si="8"/>
        <v>78.951577799999995</v>
      </c>
      <c r="AB17" s="86">
        <f t="shared" si="19"/>
        <v>3812.6708377999998</v>
      </c>
      <c r="AC17" s="300">
        <f>+AB17/N18-1</f>
        <v>6.312168648532257E-2</v>
      </c>
    </row>
    <row r="18" spans="1:29" x14ac:dyDescent="0.25">
      <c r="A18" s="341">
        <v>2006</v>
      </c>
      <c r="B18" s="13" t="s">
        <v>30</v>
      </c>
      <c r="C18" s="97">
        <v>11.93</v>
      </c>
      <c r="D18" s="31">
        <f t="shared" si="3"/>
        <v>-5.5423594615993776E-2</v>
      </c>
      <c r="E18" s="97">
        <v>11.34</v>
      </c>
      <c r="F18" s="98">
        <f t="shared" si="32"/>
        <v>-5.2631578947368474E-2</v>
      </c>
      <c r="G18" s="97">
        <v>16.7</v>
      </c>
      <c r="H18" s="31">
        <f t="shared" si="33"/>
        <v>-5.542986425339369E-2</v>
      </c>
      <c r="I18" s="78">
        <f t="shared" si="0"/>
        <v>0.95054484492875102</v>
      </c>
      <c r="J18" s="78">
        <f t="shared" si="1"/>
        <v>1.3998323554065382</v>
      </c>
      <c r="K18" s="31">
        <f t="shared" si="26"/>
        <v>-4.945515507124898E-2</v>
      </c>
      <c r="L18" s="106">
        <f t="shared" ref="L18:L42" si="35">ROUND((-N18/E18*C18+N18),2)</f>
        <v>-186.59</v>
      </c>
      <c r="M18" s="32">
        <f t="shared" si="34"/>
        <v>1.472663139329806</v>
      </c>
      <c r="N18" s="115">
        <v>3586.2976800000001</v>
      </c>
      <c r="O18" s="31">
        <f t="shared" si="31"/>
        <v>7.7611176872688814E-2</v>
      </c>
      <c r="P18" s="86">
        <f t="shared" si="29"/>
        <v>258.29054999999971</v>
      </c>
      <c r="U18" s="120">
        <f>+U16-U17</f>
        <v>750.19400000000041</v>
      </c>
      <c r="Y18" s="106">
        <f t="shared" si="17"/>
        <v>258.29054999999971</v>
      </c>
      <c r="Z18" s="268">
        <f t="shared" si="18"/>
        <v>316252</v>
      </c>
      <c r="AA18" s="264"/>
      <c r="AC18" s="357">
        <f>+O18</f>
        <v>7.7611176872688814E-2</v>
      </c>
    </row>
    <row r="19" spans="1:29" ht="15.75" thickBot="1" x14ac:dyDescent="0.3">
      <c r="A19" s="5">
        <v>2005</v>
      </c>
      <c r="B19" s="11" t="s">
        <v>29</v>
      </c>
      <c r="C19" s="93">
        <v>12.63</v>
      </c>
      <c r="D19" s="26">
        <f t="shared" si="3"/>
        <v>-0.14430894308943087</v>
      </c>
      <c r="E19" s="93">
        <v>11.97</v>
      </c>
      <c r="F19" s="94">
        <f t="shared" si="32"/>
        <v>-0.145610278372591</v>
      </c>
      <c r="G19" s="93">
        <v>17.68</v>
      </c>
      <c r="H19" s="26">
        <f t="shared" si="33"/>
        <v>-0.14424007744433687</v>
      </c>
      <c r="I19" s="76">
        <f t="shared" si="0"/>
        <v>0.94774346793349162</v>
      </c>
      <c r="J19" s="76">
        <f t="shared" si="1"/>
        <v>1.3998416468725257</v>
      </c>
      <c r="K19" s="26">
        <f t="shared" si="26"/>
        <v>-5.2256532066508377E-2</v>
      </c>
      <c r="L19" s="107">
        <f t="shared" si="35"/>
        <v>-183.5</v>
      </c>
      <c r="M19" s="27">
        <f t="shared" si="34"/>
        <v>1.4770258980785296</v>
      </c>
      <c r="N19" s="113">
        <v>3328.0071300000004</v>
      </c>
      <c r="O19" s="26">
        <f t="shared" si="31"/>
        <v>3.6301259529311736E-2</v>
      </c>
      <c r="P19" s="86">
        <f t="shared" si="29"/>
        <v>116.57889000000068</v>
      </c>
      <c r="U19" s="132">
        <f>+U16/U17-1</f>
        <v>9.7783176909847169E-2</v>
      </c>
      <c r="Y19" s="107">
        <f t="shared" si="17"/>
        <v>116.57889000000068</v>
      </c>
      <c r="Z19" s="267">
        <f t="shared" si="18"/>
        <v>278029</v>
      </c>
      <c r="AA19" s="302"/>
      <c r="AC19" s="357">
        <f t="shared" ref="AC19:AC41" si="36">+O19</f>
        <v>3.6301259529311736E-2</v>
      </c>
    </row>
    <row r="20" spans="1:29" ht="15.75" thickBot="1" x14ac:dyDescent="0.3">
      <c r="A20" s="33">
        <v>2004</v>
      </c>
      <c r="B20" s="14" t="s">
        <v>28</v>
      </c>
      <c r="C20" s="99">
        <v>14.76</v>
      </c>
      <c r="D20" s="34">
        <f t="shared" si="3"/>
        <v>-4.4660194174757306E-2</v>
      </c>
      <c r="E20" s="99">
        <v>14.01</v>
      </c>
      <c r="F20" s="100">
        <f t="shared" si="32"/>
        <v>-4.3032786885245922E-2</v>
      </c>
      <c r="G20" s="99">
        <v>20.66</v>
      </c>
      <c r="H20" s="34">
        <f t="shared" si="33"/>
        <v>-9.5877277085330004E-3</v>
      </c>
      <c r="I20" s="79">
        <f t="shared" si="0"/>
        <v>0.94918699186991873</v>
      </c>
      <c r="J20" s="79">
        <f t="shared" si="1"/>
        <v>1.3997289972899729</v>
      </c>
      <c r="K20" s="34">
        <f t="shared" si="26"/>
        <v>-5.0813008130081272E-2</v>
      </c>
      <c r="L20" s="108">
        <f t="shared" si="35"/>
        <v>-171.92</v>
      </c>
      <c r="M20" s="35">
        <f t="shared" si="34"/>
        <v>1.4746609564596715</v>
      </c>
      <c r="N20" s="116">
        <v>3211.4282399999997</v>
      </c>
      <c r="O20" s="34">
        <f t="shared" si="31"/>
        <v>4.738870035579712E-2</v>
      </c>
      <c r="P20" s="86">
        <f t="shared" si="29"/>
        <v>145.29983999999968</v>
      </c>
      <c r="Y20" s="108">
        <f t="shared" si="17"/>
        <v>145.29983999999968</v>
      </c>
      <c r="Z20" s="116">
        <f t="shared" si="18"/>
        <v>229224</v>
      </c>
      <c r="AA20" s="265"/>
      <c r="AC20" s="357">
        <f t="shared" si="36"/>
        <v>4.738870035579712E-2</v>
      </c>
    </row>
    <row r="21" spans="1:29" x14ac:dyDescent="0.25">
      <c r="A21" s="341">
        <v>2003</v>
      </c>
      <c r="B21" s="13" t="s">
        <v>27</v>
      </c>
      <c r="C21" s="97">
        <v>15.45</v>
      </c>
      <c r="D21" s="31">
        <f t="shared" si="3"/>
        <v>-0.22672672672672678</v>
      </c>
      <c r="E21" s="97">
        <v>14.64</v>
      </c>
      <c r="F21" s="98">
        <f t="shared" si="32"/>
        <v>-0.21836625734116388</v>
      </c>
      <c r="G21" s="97">
        <v>20.86</v>
      </c>
      <c r="H21" s="31">
        <f t="shared" si="33"/>
        <v>-0.22683469236471465</v>
      </c>
      <c r="I21" s="78">
        <f t="shared" si="0"/>
        <v>0.94757281553398065</v>
      </c>
      <c r="J21" s="78">
        <f t="shared" si="1"/>
        <v>1.3501618122977346</v>
      </c>
      <c r="K21" s="31">
        <f t="shared" si="26"/>
        <v>-5.242718446601935E-2</v>
      </c>
      <c r="L21" s="106">
        <f t="shared" si="35"/>
        <v>-169.64</v>
      </c>
      <c r="M21" s="32">
        <f t="shared" si="34"/>
        <v>1.4248633879781418</v>
      </c>
      <c r="N21" s="115">
        <v>3066.1284000000001</v>
      </c>
      <c r="O21" s="31">
        <f t="shared" si="31"/>
        <v>7.5942758606829752E-2</v>
      </c>
      <c r="P21" s="86">
        <f t="shared" si="29"/>
        <v>216.41508999999996</v>
      </c>
      <c r="Y21" s="106">
        <f t="shared" si="17"/>
        <v>216.41508999999996</v>
      </c>
      <c r="Z21" s="268">
        <f t="shared" si="18"/>
        <v>209435</v>
      </c>
      <c r="AA21" s="264"/>
      <c r="AC21" s="357">
        <f t="shared" si="36"/>
        <v>7.5942758606829752E-2</v>
      </c>
    </row>
    <row r="22" spans="1:29" x14ac:dyDescent="0.25">
      <c r="A22" s="4">
        <v>2002</v>
      </c>
      <c r="B22" s="10" t="s">
        <v>26</v>
      </c>
      <c r="C22" s="91">
        <v>19.98</v>
      </c>
      <c r="D22" s="24">
        <f t="shared" si="3"/>
        <v>-1.1380504700643224E-2</v>
      </c>
      <c r="E22" s="91">
        <v>18.73</v>
      </c>
      <c r="F22" s="92">
        <f t="shared" si="32"/>
        <v>5.9076262083781472E-3</v>
      </c>
      <c r="G22" s="91">
        <v>26.98</v>
      </c>
      <c r="H22" s="24">
        <f t="shared" si="33"/>
        <v>-1.0997067448680342E-2</v>
      </c>
      <c r="I22" s="75">
        <f t="shared" si="0"/>
        <v>0.93743743743743746</v>
      </c>
      <c r="J22" s="75">
        <f t="shared" si="1"/>
        <v>1.3503503503503504</v>
      </c>
      <c r="K22" s="24">
        <f t="shared" si="26"/>
        <v>-6.256256256256254E-2</v>
      </c>
      <c r="L22" s="109">
        <f t="shared" si="35"/>
        <v>-190.18</v>
      </c>
      <c r="M22" s="25">
        <f t="shared" si="34"/>
        <v>1.4404698344901228</v>
      </c>
      <c r="N22" s="112">
        <v>2849.7133100000001</v>
      </c>
      <c r="O22" s="24">
        <f t="shared" si="31"/>
        <v>9.1617232435760698E-2</v>
      </c>
      <c r="P22" s="86">
        <f t="shared" si="29"/>
        <v>239.17068999999992</v>
      </c>
      <c r="Y22" s="109">
        <f t="shared" si="17"/>
        <v>239.17068999999992</v>
      </c>
      <c r="Z22" s="118">
        <f t="shared" si="18"/>
        <v>152147</v>
      </c>
      <c r="AA22" s="264"/>
      <c r="AC22" s="357">
        <f t="shared" si="36"/>
        <v>9.1617232435760698E-2</v>
      </c>
    </row>
    <row r="23" spans="1:29" ht="15.75" thickBot="1" x14ac:dyDescent="0.3">
      <c r="A23" s="5">
        <v>2001</v>
      </c>
      <c r="B23" s="11" t="s">
        <v>25</v>
      </c>
      <c r="C23" s="93">
        <v>20.21</v>
      </c>
      <c r="D23" s="26">
        <f t="shared" si="3"/>
        <v>7.3287307488051123E-2</v>
      </c>
      <c r="E23" s="93">
        <v>18.62</v>
      </c>
      <c r="F23" s="94">
        <f t="shared" si="32"/>
        <v>0.10635769459298894</v>
      </c>
      <c r="G23" s="93">
        <v>27.28</v>
      </c>
      <c r="H23" s="26">
        <f t="shared" si="33"/>
        <v>5.7774331136099422E-2</v>
      </c>
      <c r="I23" s="76">
        <f t="shared" si="0"/>
        <v>0.92132607619990103</v>
      </c>
      <c r="J23" s="76">
        <f t="shared" si="1"/>
        <v>1.3498268184067292</v>
      </c>
      <c r="K23" s="26">
        <f t="shared" si="26"/>
        <v>-7.8673923800098966E-2</v>
      </c>
      <c r="L23" s="107">
        <f t="shared" si="35"/>
        <v>-222.92</v>
      </c>
      <c r="M23" s="27">
        <f t="shared" si="34"/>
        <v>1.4650912996777659</v>
      </c>
      <c r="N23" s="113">
        <v>2610.5426200000002</v>
      </c>
      <c r="O23" s="26">
        <f t="shared" si="31"/>
        <v>0.11135956967565841</v>
      </c>
      <c r="P23" s="86">
        <f t="shared" si="29"/>
        <v>261.57952000000068</v>
      </c>
      <c r="Y23" s="107">
        <f t="shared" si="17"/>
        <v>261.57952000000068</v>
      </c>
      <c r="Z23" s="267">
        <f t="shared" si="18"/>
        <v>140201</v>
      </c>
      <c r="AA23" s="264"/>
      <c r="AC23" s="357">
        <f t="shared" si="36"/>
        <v>0.11135956967565841</v>
      </c>
    </row>
    <row r="24" spans="1:29" ht="15.75" thickBot="1" x14ac:dyDescent="0.3">
      <c r="A24" s="342">
        <v>2000</v>
      </c>
      <c r="B24" s="14" t="s">
        <v>24</v>
      </c>
      <c r="C24" s="99">
        <v>18.829999999999998</v>
      </c>
      <c r="D24" s="34">
        <f t="shared" si="3"/>
        <v>-0.11968209443665279</v>
      </c>
      <c r="E24" s="99">
        <v>16.829999999999998</v>
      </c>
      <c r="F24" s="100">
        <f t="shared" si="32"/>
        <v>-0.11838658983761141</v>
      </c>
      <c r="G24" s="99">
        <v>25.79</v>
      </c>
      <c r="H24" s="34">
        <f t="shared" si="33"/>
        <v>-0.10013956734124219</v>
      </c>
      <c r="I24" s="79">
        <f t="shared" si="0"/>
        <v>0.89378651088688266</v>
      </c>
      <c r="J24" s="79">
        <f t="shared" si="1"/>
        <v>1.3696229421136485</v>
      </c>
      <c r="K24" s="34">
        <f t="shared" si="26"/>
        <v>-0.10621348911311734</v>
      </c>
      <c r="L24" s="108">
        <f t="shared" si="35"/>
        <v>-279.14</v>
      </c>
      <c r="M24" s="35">
        <f t="shared" si="34"/>
        <v>1.5323826500297089</v>
      </c>
      <c r="N24" s="116">
        <v>2348.9630999999995</v>
      </c>
      <c r="O24" s="34">
        <f t="shared" si="31"/>
        <v>5.1780796966933273E-2</v>
      </c>
      <c r="P24" s="86">
        <f>SUM(P8:P23)</f>
        <v>2204.1969000000004</v>
      </c>
      <c r="Q24" s="120"/>
      <c r="Y24" s="108">
        <f t="shared" si="17"/>
        <v>115.64308999999957</v>
      </c>
      <c r="Z24" s="116">
        <f t="shared" si="18"/>
        <v>139570</v>
      </c>
      <c r="AA24" s="265"/>
      <c r="AC24" s="357">
        <f t="shared" si="36"/>
        <v>5.1780796966933273E-2</v>
      </c>
    </row>
    <row r="25" spans="1:29" x14ac:dyDescent="0.25">
      <c r="A25" s="6">
        <v>1999</v>
      </c>
      <c r="B25" s="13" t="s">
        <v>23</v>
      </c>
      <c r="C25" s="97">
        <v>21.39</v>
      </c>
      <c r="D25" s="31">
        <f t="shared" si="3"/>
        <v>1.3263855992420748E-2</v>
      </c>
      <c r="E25" s="97">
        <v>19.09</v>
      </c>
      <c r="F25" s="98">
        <f t="shared" si="32"/>
        <v>1.4346439957491963E-2</v>
      </c>
      <c r="G25" s="97">
        <v>28.66</v>
      </c>
      <c r="H25" s="31">
        <f t="shared" si="33"/>
        <v>1.3078826440438451E-2</v>
      </c>
      <c r="I25" s="78">
        <f t="shared" si="0"/>
        <v>0.89247311827956988</v>
      </c>
      <c r="J25" s="78">
        <f t="shared" si="1"/>
        <v>1.3398784478728378</v>
      </c>
      <c r="K25" s="31">
        <f t="shared" si="26"/>
        <v>-0.10752688172043012</v>
      </c>
      <c r="L25" s="106">
        <f t="shared" si="35"/>
        <v>-269.07</v>
      </c>
      <c r="M25" s="32">
        <f t="shared" si="34"/>
        <v>1.5013095861707701</v>
      </c>
      <c r="N25" s="115">
        <v>2233.3200099999999</v>
      </c>
      <c r="O25" s="31">
        <f t="shared" si="31"/>
        <v>1.9531725554470469E-2</v>
      </c>
      <c r="Y25" s="106">
        <f t="shared" si="17"/>
        <v>42.784929999999804</v>
      </c>
      <c r="Z25" s="268">
        <f t="shared" si="18"/>
        <v>116988.99999999999</v>
      </c>
      <c r="AA25" s="264"/>
      <c r="AC25" s="357">
        <f t="shared" si="36"/>
        <v>1.9531725554470469E-2</v>
      </c>
    </row>
    <row r="26" spans="1:29" x14ac:dyDescent="0.25">
      <c r="A26" s="4">
        <v>1998</v>
      </c>
      <c r="B26" s="10" t="s">
        <v>22</v>
      </c>
      <c r="C26" s="91">
        <v>21.11</v>
      </c>
      <c r="D26" s="24">
        <f t="shared" si="3"/>
        <v>3.1265266243282852E-2</v>
      </c>
      <c r="E26" s="91">
        <v>18.82</v>
      </c>
      <c r="F26" s="92">
        <f t="shared" si="32"/>
        <v>3.0668127053669059E-2</v>
      </c>
      <c r="G26" s="91">
        <v>28.29</v>
      </c>
      <c r="H26" s="24">
        <f t="shared" si="33"/>
        <v>2.3887079261672106E-2</v>
      </c>
      <c r="I26" s="75">
        <f t="shared" si="0"/>
        <v>0.89152060634770258</v>
      </c>
      <c r="J26" s="75">
        <f t="shared" si="1"/>
        <v>1.3401231643770726</v>
      </c>
      <c r="K26" s="24">
        <f t="shared" si="26"/>
        <v>-0.10847939365229742</v>
      </c>
      <c r="L26" s="109">
        <f t="shared" si="35"/>
        <v>-266.54000000000002</v>
      </c>
      <c r="M26" s="25">
        <f t="shared" si="34"/>
        <v>1.5031880977683316</v>
      </c>
      <c r="N26" s="112">
        <v>2190.5350800000001</v>
      </c>
      <c r="O26" s="24">
        <f t="shared" si="31"/>
        <v>3.4945053447713148E-2</v>
      </c>
      <c r="Y26" s="109">
        <f t="shared" si="17"/>
        <v>73.96369999999979</v>
      </c>
      <c r="Z26" s="118">
        <f t="shared" si="18"/>
        <v>116394</v>
      </c>
      <c r="AA26" s="264"/>
      <c r="AC26" s="357">
        <f t="shared" si="36"/>
        <v>3.4945053447713148E-2</v>
      </c>
    </row>
    <row r="27" spans="1:29" x14ac:dyDescent="0.25">
      <c r="A27" s="340">
        <v>1997</v>
      </c>
      <c r="B27" s="10" t="s">
        <v>21</v>
      </c>
      <c r="C27" s="91">
        <v>20.47</v>
      </c>
      <c r="D27" s="24">
        <f t="shared" si="3"/>
        <v>-4.3774319066147704E-3</v>
      </c>
      <c r="E27" s="91">
        <v>18.260000000000002</v>
      </c>
      <c r="F27" s="92">
        <f t="shared" si="32"/>
        <v>-4.362050163576825E-3</v>
      </c>
      <c r="G27" s="91">
        <v>27.63</v>
      </c>
      <c r="H27" s="24">
        <f t="shared" si="33"/>
        <v>-5.0414115952467364E-3</v>
      </c>
      <c r="I27" s="75">
        <f t="shared" si="0"/>
        <v>0.89203712750366404</v>
      </c>
      <c r="J27" s="75">
        <f t="shared" si="1"/>
        <v>1.349780166096727</v>
      </c>
      <c r="K27" s="24">
        <f t="shared" si="26"/>
        <v>-0.10796287249633596</v>
      </c>
      <c r="L27" s="109">
        <f t="shared" si="35"/>
        <v>-256.17</v>
      </c>
      <c r="M27" s="25">
        <f t="shared" si="34"/>
        <v>1.5131434830230011</v>
      </c>
      <c r="N27" s="112">
        <v>2116.5713800000003</v>
      </c>
      <c r="O27" s="24">
        <f t="shared" si="31"/>
        <v>1.829443661557284E-2</v>
      </c>
      <c r="Y27" s="109">
        <f t="shared" si="17"/>
        <v>38.025820000000294</v>
      </c>
      <c r="Z27" s="118">
        <f t="shared" si="18"/>
        <v>115913.00000000001</v>
      </c>
      <c r="AA27" s="264"/>
      <c r="AC27" s="357">
        <f t="shared" si="36"/>
        <v>1.829443661557284E-2</v>
      </c>
    </row>
    <row r="28" spans="1:29" x14ac:dyDescent="0.25">
      <c r="A28" s="4">
        <v>1996</v>
      </c>
      <c r="B28" s="10" t="s">
        <v>20</v>
      </c>
      <c r="C28" s="91">
        <v>20.56</v>
      </c>
      <c r="D28" s="24">
        <f t="shared" si="3"/>
        <v>3.8908539666498321E-2</v>
      </c>
      <c r="E28" s="91">
        <v>18.34</v>
      </c>
      <c r="F28" s="92">
        <f t="shared" si="32"/>
        <v>4.2045454545454497E-2</v>
      </c>
      <c r="G28" s="91">
        <v>27.77</v>
      </c>
      <c r="H28" s="24">
        <f t="shared" si="33"/>
        <v>3.1958379784466695E-2</v>
      </c>
      <c r="I28" s="75">
        <f t="shared" si="0"/>
        <v>0.892023346303502</v>
      </c>
      <c r="J28" s="75">
        <f t="shared" si="1"/>
        <v>1.3506809338521402</v>
      </c>
      <c r="K28" s="24">
        <f t="shared" si="26"/>
        <v>-0.107976653696498</v>
      </c>
      <c r="L28" s="109">
        <f t="shared" si="35"/>
        <v>-251.6</v>
      </c>
      <c r="M28" s="25">
        <f t="shared" si="34"/>
        <v>1.5141766630316249</v>
      </c>
      <c r="N28" s="112">
        <v>2078.54556</v>
      </c>
      <c r="O28" s="24">
        <f t="shared" si="31"/>
        <v>4.9108380892543657E-2</v>
      </c>
      <c r="Y28" s="109">
        <f t="shared" si="17"/>
        <v>97.295959999999923</v>
      </c>
      <c r="Z28" s="118">
        <f t="shared" si="18"/>
        <v>113334</v>
      </c>
      <c r="AA28" s="264"/>
      <c r="AC28" s="357">
        <f t="shared" si="36"/>
        <v>4.9108380892543657E-2</v>
      </c>
    </row>
    <row r="29" spans="1:29" x14ac:dyDescent="0.25">
      <c r="A29" s="4">
        <v>1995</v>
      </c>
      <c r="B29" s="10" t="s">
        <v>19</v>
      </c>
      <c r="C29" s="91">
        <v>19.79</v>
      </c>
      <c r="D29" s="24">
        <f t="shared" si="3"/>
        <v>3.5496957403651219E-3</v>
      </c>
      <c r="E29" s="91">
        <v>17.600000000000001</v>
      </c>
      <c r="F29" s="92">
        <f t="shared" si="32"/>
        <v>8.0183276059564434E-3</v>
      </c>
      <c r="G29" s="91">
        <v>26.91</v>
      </c>
      <c r="H29" s="24">
        <f t="shared" si="33"/>
        <v>-3.7023324694558379E-3</v>
      </c>
      <c r="I29" s="75">
        <f t="shared" si="0"/>
        <v>0.88933804951995965</v>
      </c>
      <c r="J29" s="75">
        <f t="shared" si="1"/>
        <v>1.3597776654876201</v>
      </c>
      <c r="K29" s="24">
        <f t="shared" si="26"/>
        <v>-0.11066195048004035</v>
      </c>
      <c r="L29" s="109">
        <f t="shared" si="35"/>
        <v>-246.53</v>
      </c>
      <c r="M29" s="25">
        <f t="shared" si="34"/>
        <v>1.5289772727272728</v>
      </c>
      <c r="N29" s="112">
        <v>1981.2496000000001</v>
      </c>
      <c r="O29" s="24">
        <f t="shared" si="31"/>
        <v>1.2208475598145752E-2</v>
      </c>
      <c r="Y29" s="109">
        <f t="shared" si="17"/>
        <v>23.89630000000011</v>
      </c>
      <c r="Z29" s="118">
        <f t="shared" si="18"/>
        <v>112571</v>
      </c>
      <c r="AA29" s="264"/>
      <c r="AC29" s="357">
        <f t="shared" si="36"/>
        <v>1.2208475598145752E-2</v>
      </c>
    </row>
    <row r="30" spans="1:29" x14ac:dyDescent="0.25">
      <c r="A30" s="340">
        <v>1994</v>
      </c>
      <c r="B30" s="10" t="s">
        <v>18</v>
      </c>
      <c r="C30" s="91">
        <v>19.72</v>
      </c>
      <c r="D30" s="24">
        <f t="shared" si="3"/>
        <v>0.14385150812064973</v>
      </c>
      <c r="E30" s="91">
        <v>17.46</v>
      </c>
      <c r="F30" s="92">
        <f t="shared" si="32"/>
        <v>0.15095583388266332</v>
      </c>
      <c r="G30" s="91">
        <v>27.01</v>
      </c>
      <c r="H30" s="24">
        <f t="shared" si="33"/>
        <v>0.10244897959183685</v>
      </c>
      <c r="I30" s="75">
        <f t="shared" si="0"/>
        <v>0.88539553752535505</v>
      </c>
      <c r="J30" s="75">
        <f t="shared" si="1"/>
        <v>1.3696754563894524</v>
      </c>
      <c r="K30" s="24">
        <f t="shared" si="26"/>
        <v>-0.11460446247464495</v>
      </c>
      <c r="L30" s="109">
        <f t="shared" si="35"/>
        <v>-253.36</v>
      </c>
      <c r="M30" s="25">
        <f t="shared" si="34"/>
        <v>1.5469644902634594</v>
      </c>
      <c r="N30" s="112">
        <v>1957.3533</v>
      </c>
      <c r="O30" s="24">
        <f t="shared" si="31"/>
        <v>1.4117920417859864E-3</v>
      </c>
      <c r="Y30" s="109">
        <f t="shared" si="17"/>
        <v>2.7594799999999395</v>
      </c>
      <c r="Z30" s="118">
        <f t="shared" si="18"/>
        <v>112104.99999999999</v>
      </c>
      <c r="AA30" s="264"/>
      <c r="AC30" s="357">
        <f t="shared" si="36"/>
        <v>1.4117920417859864E-3</v>
      </c>
    </row>
    <row r="31" spans="1:29" x14ac:dyDescent="0.25">
      <c r="A31" s="4">
        <v>1993</v>
      </c>
      <c r="B31" s="10" t="s">
        <v>17</v>
      </c>
      <c r="C31" s="91">
        <v>17.239999999999998</v>
      </c>
      <c r="D31" s="24">
        <f t="shared" si="3"/>
        <v>8.187134502923854E-3</v>
      </c>
      <c r="E31" s="91">
        <v>15.17</v>
      </c>
      <c r="F31" s="92">
        <f t="shared" si="32"/>
        <v>1.4037433155080103E-2</v>
      </c>
      <c r="G31" s="91">
        <v>24.5</v>
      </c>
      <c r="H31" s="24">
        <f t="shared" si="33"/>
        <v>1.2815212897891559E-2</v>
      </c>
      <c r="I31" s="75">
        <f t="shared" si="0"/>
        <v>0.87993039443155463</v>
      </c>
      <c r="J31" s="75">
        <f t="shared" si="1"/>
        <v>1.4211136890951277</v>
      </c>
      <c r="K31" s="24">
        <f t="shared" si="26"/>
        <v>-0.12006960556844537</v>
      </c>
      <c r="L31" s="109">
        <f t="shared" si="35"/>
        <v>-266.70999999999998</v>
      </c>
      <c r="M31" s="25">
        <f t="shared" si="34"/>
        <v>1.6150296638101516</v>
      </c>
      <c r="N31" s="112">
        <v>1954.5938200000001</v>
      </c>
      <c r="O31" s="24">
        <f t="shared" si="31"/>
        <v>1.882928191125588E-2</v>
      </c>
      <c r="Y31" s="109">
        <f t="shared" si="17"/>
        <v>36.123419999999896</v>
      </c>
      <c r="Z31" s="118">
        <f t="shared" si="18"/>
        <v>128846</v>
      </c>
      <c r="AA31" s="264"/>
      <c r="AC31" s="357">
        <f t="shared" si="36"/>
        <v>1.882928191125588E-2</v>
      </c>
    </row>
    <row r="32" spans="1:29" x14ac:dyDescent="0.25">
      <c r="A32" s="4">
        <v>1992</v>
      </c>
      <c r="B32" s="10" t="s">
        <v>16</v>
      </c>
      <c r="C32" s="91">
        <v>17.100000000000001</v>
      </c>
      <c r="D32" s="24">
        <f t="shared" si="3"/>
        <v>1.846337105419904E-2</v>
      </c>
      <c r="E32" s="91">
        <v>14.96</v>
      </c>
      <c r="F32" s="92">
        <f t="shared" si="32"/>
        <v>2.3956194387406038E-2</v>
      </c>
      <c r="G32" s="91">
        <v>24.19</v>
      </c>
      <c r="H32" s="24">
        <f t="shared" si="33"/>
        <v>1.5533165407220828E-2</v>
      </c>
      <c r="I32" s="75">
        <f t="shared" si="0"/>
        <v>0.87485380116959066</v>
      </c>
      <c r="J32" s="75">
        <f t="shared" si="1"/>
        <v>1.4146198830409356</v>
      </c>
      <c r="K32" s="24">
        <f t="shared" si="26"/>
        <v>-0.12514619883040934</v>
      </c>
      <c r="L32" s="109">
        <f t="shared" si="35"/>
        <v>-274.43</v>
      </c>
      <c r="M32" s="25">
        <f t="shared" si="34"/>
        <v>1.6169786096256682</v>
      </c>
      <c r="N32" s="112">
        <v>1918.4704000000002</v>
      </c>
      <c r="O32" s="24">
        <f t="shared" si="31"/>
        <v>2.7425276927249165E-2</v>
      </c>
      <c r="Y32" s="109">
        <f t="shared" si="17"/>
        <v>51.210130000000163</v>
      </c>
      <c r="Z32" s="118">
        <f t="shared" si="18"/>
        <v>128240.00000000001</v>
      </c>
      <c r="AA32" s="264"/>
      <c r="AC32" s="357">
        <f t="shared" si="36"/>
        <v>2.7425276927249165E-2</v>
      </c>
    </row>
    <row r="33" spans="1:29" x14ac:dyDescent="0.25">
      <c r="A33" s="340">
        <v>1991</v>
      </c>
      <c r="B33" s="10" t="s">
        <v>15</v>
      </c>
      <c r="C33" s="91">
        <v>16.79</v>
      </c>
      <c r="D33" s="24">
        <f t="shared" si="3"/>
        <v>6.7387158296249083E-2</v>
      </c>
      <c r="E33" s="91">
        <v>14.61</v>
      </c>
      <c r="F33" s="92">
        <f t="shared" si="32"/>
        <v>6.7982456140350811E-2</v>
      </c>
      <c r="G33" s="91">
        <v>23.82</v>
      </c>
      <c r="H33" s="24">
        <f t="shared" si="33"/>
        <v>3.7908496732026231E-2</v>
      </c>
      <c r="I33" s="75">
        <f t="shared" si="0"/>
        <v>0.87016081000595591</v>
      </c>
      <c r="J33" s="75">
        <f t="shared" si="1"/>
        <v>1.4187016081000596</v>
      </c>
      <c r="K33" s="24">
        <f t="shared" si="26"/>
        <v>-0.12983918999404409</v>
      </c>
      <c r="L33" s="109">
        <f t="shared" si="35"/>
        <v>-278.62</v>
      </c>
      <c r="M33" s="25">
        <f t="shared" si="34"/>
        <v>1.6303901437371664</v>
      </c>
      <c r="N33" s="112">
        <v>1867.26027</v>
      </c>
      <c r="O33" s="24">
        <f t="shared" si="31"/>
        <v>-2.5400143003507125E-2</v>
      </c>
      <c r="Y33" s="109">
        <f t="shared" si="17"/>
        <v>-48.66477000000009</v>
      </c>
      <c r="Z33" s="118">
        <f t="shared" si="18"/>
        <v>127807</v>
      </c>
      <c r="AA33" s="264"/>
      <c r="AC33" s="357">
        <f t="shared" si="36"/>
        <v>-2.5400143003507125E-2</v>
      </c>
    </row>
    <row r="34" spans="1:29" x14ac:dyDescent="0.25">
      <c r="A34" s="7">
        <v>1990</v>
      </c>
      <c r="B34" s="15" t="s">
        <v>14</v>
      </c>
      <c r="C34" s="101">
        <v>15.73</v>
      </c>
      <c r="D34" s="36">
        <f t="shared" si="3"/>
        <v>4.7968021319120702E-2</v>
      </c>
      <c r="E34" s="101">
        <v>13.68</v>
      </c>
      <c r="F34" s="102">
        <f t="shared" si="32"/>
        <v>1.4641288433381305E-3</v>
      </c>
      <c r="G34" s="101">
        <v>22.95</v>
      </c>
      <c r="H34" s="36">
        <f t="shared" si="33"/>
        <v>0.1227984344422699</v>
      </c>
      <c r="I34" s="80">
        <f t="shared" si="0"/>
        <v>0.86967577876668778</v>
      </c>
      <c r="J34" s="80">
        <f t="shared" si="1"/>
        <v>1.4589955499046408</v>
      </c>
      <c r="K34" s="36">
        <f t="shared" si="26"/>
        <v>-0.13032422123331222</v>
      </c>
      <c r="L34" s="110">
        <f t="shared" si="35"/>
        <v>-287.11</v>
      </c>
      <c r="M34" s="37">
        <f t="shared" si="34"/>
        <v>1.6776315789473686</v>
      </c>
      <c r="N34" s="117">
        <v>1915.9250400000001</v>
      </c>
      <c r="O34" s="36">
        <f t="shared" si="31"/>
        <v>5.7801654827183135E-3</v>
      </c>
      <c r="Y34" s="110">
        <f t="shared" si="17"/>
        <v>11.010719999999992</v>
      </c>
      <c r="Z34" s="269">
        <f t="shared" si="18"/>
        <v>140053</v>
      </c>
      <c r="AA34" s="264"/>
      <c r="AC34" s="357">
        <f t="shared" si="36"/>
        <v>5.7801654827183135E-3</v>
      </c>
    </row>
    <row r="35" spans="1:29" ht="15.75" thickBot="1" x14ac:dyDescent="0.3">
      <c r="A35" s="5">
        <v>1989</v>
      </c>
      <c r="B35" s="11" t="s">
        <v>13</v>
      </c>
      <c r="C35" s="93">
        <v>15.01</v>
      </c>
      <c r="D35" s="26">
        <f t="shared" si="3"/>
        <v>0.10693215339233042</v>
      </c>
      <c r="E35" s="93">
        <v>13.66</v>
      </c>
      <c r="F35" s="94">
        <f t="shared" si="32"/>
        <v>0.10696920583468406</v>
      </c>
      <c r="G35" s="93">
        <v>20.440000000000001</v>
      </c>
      <c r="H35" s="26">
        <f t="shared" si="33"/>
        <v>0.11026615969581766</v>
      </c>
      <c r="I35" s="76">
        <f t="shared" si="0"/>
        <v>0.91005996002664891</v>
      </c>
      <c r="J35" s="76">
        <f t="shared" si="1"/>
        <v>1.3617588274483678</v>
      </c>
      <c r="K35" s="26">
        <f t="shared" si="26"/>
        <v>-8.9940039973351094E-2</v>
      </c>
      <c r="L35" s="107">
        <f t="shared" si="35"/>
        <v>-188.26</v>
      </c>
      <c r="M35" s="27">
        <f t="shared" si="34"/>
        <v>1.4963396778916545</v>
      </c>
      <c r="N35" s="113">
        <v>1904.9143200000001</v>
      </c>
      <c r="O35" s="26">
        <f t="shared" si="31"/>
        <v>0.13046999840397766</v>
      </c>
      <c r="Y35" s="107">
        <f t="shared" si="17"/>
        <v>219.85030000000006</v>
      </c>
      <c r="Z35" s="267">
        <f t="shared" si="18"/>
        <v>139452</v>
      </c>
      <c r="AA35" s="264"/>
      <c r="AC35" s="357">
        <f t="shared" si="36"/>
        <v>0.13046999840397766</v>
      </c>
    </row>
    <row r="36" spans="1:29" ht="15.75" thickBot="1" x14ac:dyDescent="0.3">
      <c r="A36" s="342">
        <v>1988</v>
      </c>
      <c r="B36" s="14" t="s">
        <v>12</v>
      </c>
      <c r="C36" s="99">
        <v>13.56</v>
      </c>
      <c r="D36" s="34">
        <f t="shared" si="3"/>
        <v>-0.29631551634665276</v>
      </c>
      <c r="E36" s="99">
        <v>12.34</v>
      </c>
      <c r="F36" s="100">
        <f t="shared" si="32"/>
        <v>-0.2964652223489167</v>
      </c>
      <c r="G36" s="99">
        <v>18.41</v>
      </c>
      <c r="H36" s="34">
        <f t="shared" si="33"/>
        <v>-0.23035117056856191</v>
      </c>
      <c r="I36" s="79">
        <f t="shared" si="0"/>
        <v>0.91002949852507375</v>
      </c>
      <c r="J36" s="79">
        <f t="shared" si="1"/>
        <v>1.3576696165191739</v>
      </c>
      <c r="K36" s="34">
        <f t="shared" si="26"/>
        <v>-8.9970501474926245E-2</v>
      </c>
      <c r="L36" s="108">
        <f t="shared" si="35"/>
        <v>-166.59</v>
      </c>
      <c r="M36" s="35">
        <f t="shared" si="34"/>
        <v>1.4918962722852511</v>
      </c>
      <c r="N36" s="116">
        <v>1685.06402</v>
      </c>
      <c r="O36" s="34">
        <f t="shared" si="31"/>
        <v>0.72027627657059345</v>
      </c>
      <c r="Y36" s="108">
        <f t="shared" si="17"/>
        <v>705.53297434772253</v>
      </c>
      <c r="Z36" s="116">
        <f t="shared" si="18"/>
        <v>136553</v>
      </c>
      <c r="AA36" s="265"/>
      <c r="AC36" s="357">
        <f t="shared" si="36"/>
        <v>0.72027627657059345</v>
      </c>
    </row>
    <row r="37" spans="1:29" x14ac:dyDescent="0.25">
      <c r="A37" s="6" t="s">
        <v>131</v>
      </c>
      <c r="B37" s="13" t="s">
        <v>11</v>
      </c>
      <c r="C37" s="97">
        <v>19.27</v>
      </c>
      <c r="D37" s="31">
        <f t="shared" si="3"/>
        <v>-6.4108790675085014E-2</v>
      </c>
      <c r="E37" s="97">
        <v>17.54</v>
      </c>
      <c r="F37" s="98">
        <f t="shared" si="32"/>
        <v>-6.4034151547491924E-2</v>
      </c>
      <c r="G37" s="97">
        <v>23.92</v>
      </c>
      <c r="H37" s="31">
        <f t="shared" si="33"/>
        <v>-0.10812826249067853</v>
      </c>
      <c r="I37" s="78">
        <f t="shared" si="0"/>
        <v>0.91022314478463928</v>
      </c>
      <c r="J37" s="78">
        <f t="shared" si="1"/>
        <v>1.2413077322262585</v>
      </c>
      <c r="K37" s="31">
        <f t="shared" si="26"/>
        <v>-8.9776855215360718E-2</v>
      </c>
      <c r="L37" s="106">
        <f t="shared" si="35"/>
        <v>-96.61</v>
      </c>
      <c r="M37" s="32">
        <f t="shared" si="34"/>
        <v>1.3637400228050172</v>
      </c>
      <c r="N37" s="115">
        <v>979.5310456522775</v>
      </c>
      <c r="O37" s="31">
        <f t="shared" si="31"/>
        <v>3.3811897409500968E-2</v>
      </c>
      <c r="Y37" s="104">
        <f t="shared" si="17"/>
        <v>32.036585483303838</v>
      </c>
      <c r="Z37" s="275">
        <f t="shared" si="18"/>
        <v>55845.555624417197</v>
      </c>
      <c r="AA37" s="264"/>
      <c r="AC37" s="357">
        <f t="shared" si="36"/>
        <v>3.3811897409500968E-2</v>
      </c>
    </row>
    <row r="38" spans="1:29" x14ac:dyDescent="0.25">
      <c r="A38" s="6" t="s">
        <v>132</v>
      </c>
      <c r="B38" s="10" t="s">
        <v>10</v>
      </c>
      <c r="C38" s="91">
        <v>20.59</v>
      </c>
      <c r="D38" s="24">
        <f t="shared" si="3"/>
        <v>3.4673366834170993E-2</v>
      </c>
      <c r="E38" s="91">
        <v>18.739999999999998</v>
      </c>
      <c r="F38" s="92">
        <f t="shared" si="32"/>
        <v>3.4787410270568753E-2</v>
      </c>
      <c r="G38" s="91">
        <v>26.82</v>
      </c>
      <c r="H38" s="24">
        <f t="shared" si="33"/>
        <v>2.1714285714285797E-2</v>
      </c>
      <c r="I38" s="75">
        <f t="shared" si="0"/>
        <v>0.91015055852355509</v>
      </c>
      <c r="J38" s="75">
        <f t="shared" si="1"/>
        <v>1.3025740650801361</v>
      </c>
      <c r="K38" s="24">
        <f t="shared" si="26"/>
        <v>-8.9849441476444913E-2</v>
      </c>
      <c r="L38" s="109">
        <f t="shared" si="35"/>
        <v>-93.54</v>
      </c>
      <c r="M38" s="25">
        <f t="shared" si="34"/>
        <v>1.4311632870864464</v>
      </c>
      <c r="N38" s="112">
        <v>947.49446016897366</v>
      </c>
      <c r="O38" s="24">
        <f t="shared" si="31"/>
        <v>1.6085878536693299E-2</v>
      </c>
      <c r="Y38" s="104">
        <f t="shared" si="17"/>
        <v>14.999992739213553</v>
      </c>
      <c r="Z38" s="276">
        <f t="shared" si="18"/>
        <v>50560.003210724317</v>
      </c>
      <c r="AA38" s="264"/>
      <c r="AC38" s="357">
        <f t="shared" si="36"/>
        <v>1.6085878536693299E-2</v>
      </c>
    </row>
    <row r="39" spans="1:29" x14ac:dyDescent="0.25">
      <c r="A39" s="6" t="s">
        <v>133</v>
      </c>
      <c r="B39" s="10" t="s">
        <v>9</v>
      </c>
      <c r="C39" s="91">
        <v>19.899999999999999</v>
      </c>
      <c r="D39" s="24">
        <f t="shared" si="3"/>
        <v>-0.12642669007901675</v>
      </c>
      <c r="E39" s="91">
        <v>18.11</v>
      </c>
      <c r="F39" s="92">
        <f t="shared" si="32"/>
        <v>-0.12638687891944045</v>
      </c>
      <c r="G39" s="91">
        <v>26.25</v>
      </c>
      <c r="H39" s="24">
        <f t="shared" si="33"/>
        <v>-0.11437246963562753</v>
      </c>
      <c r="I39" s="75">
        <f t="shared" si="0"/>
        <v>0.91005025125628147</v>
      </c>
      <c r="J39" s="75">
        <f t="shared" si="1"/>
        <v>1.3190954773869348</v>
      </c>
      <c r="K39" s="24">
        <f t="shared" si="26"/>
        <v>-8.9949748743718527E-2</v>
      </c>
      <c r="L39" s="109">
        <f t="shared" si="35"/>
        <v>-92.17</v>
      </c>
      <c r="M39" s="25">
        <f t="shared" si="34"/>
        <v>1.4494754279403645</v>
      </c>
      <c r="N39" s="112">
        <v>932.49446742976011</v>
      </c>
      <c r="O39" s="24">
        <f t="shared" si="31"/>
        <v>0.21903829429443133</v>
      </c>
      <c r="Y39" s="104">
        <f t="shared" si="17"/>
        <v>167.55174840756592</v>
      </c>
      <c r="Z39" s="276">
        <f t="shared" si="18"/>
        <v>51490.583513515194</v>
      </c>
      <c r="AA39" s="264"/>
      <c r="AC39" s="357">
        <f t="shared" si="36"/>
        <v>0.21903829429443133</v>
      </c>
    </row>
    <row r="40" spans="1:29" x14ac:dyDescent="0.25">
      <c r="A40" s="6" t="s">
        <v>134</v>
      </c>
      <c r="B40" s="10" t="s">
        <v>8</v>
      </c>
      <c r="C40" s="91">
        <v>22.78</v>
      </c>
      <c r="D40" s="24">
        <f t="shared" si="3"/>
        <v>1.6964285714285765E-2</v>
      </c>
      <c r="E40" s="91">
        <v>20.73</v>
      </c>
      <c r="F40" s="92">
        <f t="shared" si="32"/>
        <v>1.6674840608141173E-2</v>
      </c>
      <c r="G40" s="91">
        <v>29.64</v>
      </c>
      <c r="H40" s="24">
        <f t="shared" si="33"/>
        <v>1.7857142857142794E-2</v>
      </c>
      <c r="I40" s="75">
        <f t="shared" si="0"/>
        <v>0.91000877963125548</v>
      </c>
      <c r="J40" s="75">
        <f t="shared" si="1"/>
        <v>1.3011413520632134</v>
      </c>
      <c r="K40" s="24">
        <f t="shared" si="26"/>
        <v>-8.9991220368744518E-2</v>
      </c>
      <c r="L40" s="109">
        <f t="shared" si="35"/>
        <v>-75.650000000000006</v>
      </c>
      <c r="M40" s="25">
        <f t="shared" si="34"/>
        <v>1.4298118668596238</v>
      </c>
      <c r="N40" s="112">
        <v>764.94271902219418</v>
      </c>
      <c r="O40" s="24">
        <f t="shared" si="31"/>
        <v>-1.2225897237393646E-2</v>
      </c>
      <c r="Y40" s="104">
        <f t="shared" si="17"/>
        <v>-9.4678642101487185</v>
      </c>
      <c r="Z40" s="276">
        <f t="shared" si="18"/>
        <v>36900.275881437243</v>
      </c>
      <c r="AA40" s="264"/>
      <c r="AC40" s="357">
        <f t="shared" si="36"/>
        <v>-1.2225897237393646E-2</v>
      </c>
    </row>
    <row r="41" spans="1:29" x14ac:dyDescent="0.25">
      <c r="A41" s="6" t="s">
        <v>135</v>
      </c>
      <c r="B41" s="11" t="s">
        <v>7</v>
      </c>
      <c r="C41" s="93">
        <v>22.4</v>
      </c>
      <c r="D41" s="24">
        <f t="shared" si="3"/>
        <v>-6.3153492262651656E-2</v>
      </c>
      <c r="E41" s="93">
        <v>20.39</v>
      </c>
      <c r="F41" s="92">
        <f t="shared" si="32"/>
        <v>-5.5143651529193649E-2</v>
      </c>
      <c r="G41" s="93">
        <v>29.12</v>
      </c>
      <c r="H41" s="24">
        <f t="shared" si="33"/>
        <v>-9.1136079900124733E-2</v>
      </c>
      <c r="I41" s="76">
        <f t="shared" si="0"/>
        <v>0.91026785714285718</v>
      </c>
      <c r="J41" s="76">
        <f t="shared" si="1"/>
        <v>1.3</v>
      </c>
      <c r="K41" s="26">
        <f t="shared" si="26"/>
        <v>-8.9732142857142816E-2</v>
      </c>
      <c r="L41" s="107">
        <f t="shared" si="35"/>
        <v>-76.34</v>
      </c>
      <c r="M41" s="27">
        <f t="shared" si="34"/>
        <v>1.4281510544384501</v>
      </c>
      <c r="N41" s="113">
        <v>774.4105832323429</v>
      </c>
      <c r="O41" s="24">
        <f>+N41/N42-1</f>
        <v>-9.8636489285618412E-2</v>
      </c>
      <c r="Y41" s="104">
        <f t="shared" si="17"/>
        <v>-84.74399095113904</v>
      </c>
      <c r="Z41" s="277">
        <f t="shared" si="18"/>
        <v>37979.920707814759</v>
      </c>
      <c r="AA41" s="264"/>
      <c r="AC41" s="357">
        <f t="shared" si="36"/>
        <v>-9.8636489285618412E-2</v>
      </c>
    </row>
    <row r="42" spans="1:29" x14ac:dyDescent="0.25">
      <c r="A42" s="6" t="s">
        <v>136</v>
      </c>
      <c r="B42" s="10" t="s">
        <v>3</v>
      </c>
      <c r="C42" s="91">
        <v>23.91</v>
      </c>
      <c r="D42" s="58" t="s">
        <v>123</v>
      </c>
      <c r="E42" s="91">
        <v>21.58</v>
      </c>
      <c r="F42" s="103" t="s">
        <v>123</v>
      </c>
      <c r="G42" s="91">
        <v>32.04</v>
      </c>
      <c r="H42" s="58" t="s">
        <v>123</v>
      </c>
      <c r="I42" s="75">
        <f t="shared" si="0"/>
        <v>0.90255123379339186</v>
      </c>
      <c r="J42" s="75">
        <f t="shared" si="1"/>
        <v>1.3400250941028857</v>
      </c>
      <c r="K42" s="24">
        <f t="shared" si="26"/>
        <v>-9.7448766206608139E-2</v>
      </c>
      <c r="L42" s="109">
        <f t="shared" si="35"/>
        <v>-92.76</v>
      </c>
      <c r="M42" s="25">
        <f t="shared" si="34"/>
        <v>1.4847080630213161</v>
      </c>
      <c r="N42" s="118">
        <v>859.15457418348194</v>
      </c>
      <c r="O42" s="354" t="s">
        <v>123</v>
      </c>
      <c r="P42" s="317"/>
      <c r="Q42" s="317"/>
      <c r="R42" s="317"/>
      <c r="S42" s="317"/>
      <c r="T42" s="317"/>
      <c r="U42" s="317"/>
      <c r="V42" s="317"/>
      <c r="W42" s="317"/>
      <c r="X42" s="317"/>
      <c r="Y42" s="354" t="s">
        <v>123</v>
      </c>
      <c r="Z42" s="276">
        <f t="shared" si="18"/>
        <v>39812.538192005653</v>
      </c>
      <c r="AA42" s="264"/>
    </row>
    <row r="43" spans="1:29" x14ac:dyDescent="0.25">
      <c r="A43" s="135" t="s">
        <v>252</v>
      </c>
      <c r="B43" s="136"/>
      <c r="C43" s="137">
        <f>AVERAGE(C5:C42)</f>
        <v>17.77490519428402</v>
      </c>
      <c r="D43" s="139">
        <f>AVERAGE(D5:D41)</f>
        <v>-2.1123641206310787E-3</v>
      </c>
      <c r="E43" s="137">
        <f t="shared" ref="E43:J43" si="37">AVERAGE(E5:E42)</f>
        <v>16.19526315789474</v>
      </c>
      <c r="F43" s="137">
        <f t="shared" si="37"/>
        <v>-1.0666282756844532E-3</v>
      </c>
      <c r="G43" s="137">
        <f t="shared" si="37"/>
        <v>24.200263157894742</v>
      </c>
      <c r="H43" s="137">
        <f t="shared" si="37"/>
        <v>2.3996613199312049E-4</v>
      </c>
      <c r="I43" s="138">
        <f t="shared" si="37"/>
        <v>0.9132530936720219</v>
      </c>
      <c r="J43" s="138">
        <f t="shared" si="37"/>
        <v>1.3662185428684388</v>
      </c>
      <c r="K43" s="139">
        <f>+E43/C43-1</f>
        <v>-8.8869224286903914E-2</v>
      </c>
      <c r="L43" s="140">
        <f>AVERAGE(L5:L42)</f>
        <v>-250.18207921052641</v>
      </c>
      <c r="M43" s="141">
        <f>+J43/I43</f>
        <v>1.495991146742385</v>
      </c>
      <c r="N43" s="140">
        <f>AVERAGE(N5:N42)</f>
        <v>2792.6705821072851</v>
      </c>
      <c r="O43" s="142">
        <f>AVERAGE(O5:O42)</f>
        <v>5.6595809493816547E-2</v>
      </c>
      <c r="Y43" s="140">
        <f>AVERAGE(Y5:Y42)</f>
        <v>124.39582231936534</v>
      </c>
      <c r="AA43" s="266"/>
    </row>
    <row r="44" spans="1:29" s="42" customFormat="1" ht="4.5" customHeight="1" x14ac:dyDescent="0.25">
      <c r="A44" s="61"/>
      <c r="B44" s="62"/>
      <c r="C44" s="143"/>
      <c r="D44" s="144"/>
      <c r="E44" s="143"/>
      <c r="F44" s="143"/>
      <c r="G44" s="143"/>
      <c r="H44" s="143"/>
      <c r="I44" s="145"/>
      <c r="J44" s="145"/>
      <c r="K44" s="146"/>
      <c r="L44" s="69"/>
      <c r="M44" s="147"/>
      <c r="N44" s="69"/>
      <c r="O44" s="146"/>
      <c r="Y44" s="69"/>
    </row>
    <row r="45" spans="1:29" x14ac:dyDescent="0.25">
      <c r="A45" s="19" t="s">
        <v>253</v>
      </c>
      <c r="B45" s="148"/>
      <c r="C45" s="149">
        <f>AVERAGE(C5:C16)</f>
        <v>16.880533115232744</v>
      </c>
      <c r="D45" s="151">
        <f>AVERAGE(D5:D16)</f>
        <v>4.0593034138606404E-2</v>
      </c>
      <c r="E45" s="149">
        <f t="shared" ref="E45:J45" si="38">AVERAGE(E5:E16)</f>
        <v>15.598333333333336</v>
      </c>
      <c r="F45" s="149">
        <f t="shared" si="38"/>
        <v>4.075014345762213E-2</v>
      </c>
      <c r="G45" s="149">
        <f t="shared" si="38"/>
        <v>23.136666666666667</v>
      </c>
      <c r="H45" s="149">
        <f t="shared" si="38"/>
        <v>4.0326062383188581E-2</v>
      </c>
      <c r="I45" s="150">
        <f t="shared" si="38"/>
        <v>0.92574924055106644</v>
      </c>
      <c r="J45" s="150">
        <f t="shared" si="38"/>
        <v>1.3708704821713005</v>
      </c>
      <c r="K45" s="151">
        <f>+E45/C45-1</f>
        <v>-7.5957303785765484E-2</v>
      </c>
      <c r="L45" s="152">
        <f>AVERAGE(L5:L16)</f>
        <v>-359.7616666666666</v>
      </c>
      <c r="M45" s="153">
        <f>+J45/I45</f>
        <v>1.4808226916343661</v>
      </c>
      <c r="N45" s="152">
        <f>AVERAGE(N5:N16)</f>
        <v>4360.4043108656515</v>
      </c>
      <c r="O45" s="154">
        <f>AVERAGE(O5:O16)</f>
        <v>3.2498512724711569E-2</v>
      </c>
      <c r="Y45" s="152">
        <f>AVERAGE(Y5:Y16)</f>
        <v>144.00672833333337</v>
      </c>
    </row>
    <row r="46" spans="1:29" x14ac:dyDescent="0.25">
      <c r="A46" s="16" t="s">
        <v>254</v>
      </c>
      <c r="B46" s="155"/>
      <c r="C46" s="156">
        <f>AVERAGE(C5:C24)</f>
        <v>16.406319869139644</v>
      </c>
      <c r="D46" s="158">
        <f>AVERAGE(D5:D24)</f>
        <v>-2.7594954034912801E-3</v>
      </c>
      <c r="E46" s="156">
        <f t="shared" ref="E46:J46" si="39">AVERAGE(E5:E24)</f>
        <v>15.217000000000002</v>
      </c>
      <c r="F46" s="156">
        <f t="shared" si="39"/>
        <v>-2.4895719882547795E-4</v>
      </c>
      <c r="G46" s="156">
        <f t="shared" si="39"/>
        <v>22.562000000000005</v>
      </c>
      <c r="H46" s="156">
        <f t="shared" si="39"/>
        <v>2.5672155359185932E-3</v>
      </c>
      <c r="I46" s="157">
        <f t="shared" si="39"/>
        <v>0.9296433852999797</v>
      </c>
      <c r="J46" s="157">
        <f t="shared" si="39"/>
        <v>1.3784692949978541</v>
      </c>
      <c r="K46" s="158">
        <f>+E46/C46-1</f>
        <v>-7.2491569018884983E-2</v>
      </c>
      <c r="L46" s="159">
        <f>AVERAGE(L5:L24)</f>
        <v>-298.74295050000001</v>
      </c>
      <c r="M46" s="160">
        <f t="shared" si="34"/>
        <v>1.4827936354896412</v>
      </c>
      <c r="N46" s="159">
        <f>AVERAGE(N5:N24)</f>
        <v>3852.9825735193908</v>
      </c>
      <c r="O46" s="161">
        <f>AVERAGE(O5:O24)</f>
        <v>4.6154527355553955E-2</v>
      </c>
      <c r="Y46" s="159">
        <f>AVERAGE(Y5:Y24)</f>
        <v>161.42399950000001</v>
      </c>
    </row>
    <row r="47" spans="1:29" x14ac:dyDescent="0.25">
      <c r="A47" s="19" t="s">
        <v>125</v>
      </c>
      <c r="B47" s="50"/>
      <c r="C47" s="51">
        <f>AVERAGE(C25:C36)</f>
        <v>18.205833333333331</v>
      </c>
      <c r="D47" s="20">
        <f>AVERAGE(D25:D36)</f>
        <v>1.4923646339564361E-2</v>
      </c>
      <c r="E47" s="51">
        <f>AVERAGE(E25:E36)</f>
        <v>16.165833333333335</v>
      </c>
      <c r="F47" s="51"/>
      <c r="G47" s="51">
        <f t="shared" ref="G47:H47" si="40">AVERAGE(G25:G36)</f>
        <v>25.048333333333332</v>
      </c>
      <c r="H47" s="51">
        <f t="shared" si="40"/>
        <v>1.9299984968364648E-2</v>
      </c>
      <c r="I47" s="81">
        <f t="shared" ref="I47:J47" si="41">AVERAGE(I25:I36)</f>
        <v>0.88812483570043865</v>
      </c>
      <c r="J47" s="81">
        <f t="shared" si="41"/>
        <v>1.3785645840153462</v>
      </c>
      <c r="K47" s="20">
        <f>+E47/C47-1</f>
        <v>-0.1120519979859933</v>
      </c>
      <c r="L47" s="70">
        <f t="shared" ref="L47" si="42">AVERAGE(L25:L36)</f>
        <v>-250.41583333333332</v>
      </c>
      <c r="M47" s="21">
        <f t="shared" si="34"/>
        <v>1.5522193824566473</v>
      </c>
      <c r="N47" s="60">
        <f t="shared" ref="N47:O47" si="43">AVERAGE(N25:N36)</f>
        <v>1983.6502333333337</v>
      </c>
      <c r="O47" s="84">
        <f t="shared" si="43"/>
        <v>8.4406726703543267E-2</v>
      </c>
      <c r="Y47" s="159">
        <f>AVERAGE(Y25:Y36)</f>
        <v>104.48241369564353</v>
      </c>
    </row>
    <row r="48" spans="1:29" x14ac:dyDescent="0.25">
      <c r="A48" s="16" t="s">
        <v>124</v>
      </c>
      <c r="B48" s="52"/>
      <c r="C48" s="49">
        <f>AVERAGE(C37:C42)</f>
        <v>21.474999999999998</v>
      </c>
      <c r="D48" s="17">
        <f>AVERAGE(D37:D42)</f>
        <v>-4.0410264093659332E-2</v>
      </c>
      <c r="E48" s="49">
        <f>AVERAGE(E37:E42)</f>
        <v>19.515000000000001</v>
      </c>
      <c r="F48" s="49"/>
      <c r="G48" s="49">
        <f t="shared" ref="G48:H48" si="44">AVERAGE(G37:G42)</f>
        <v>27.965</v>
      </c>
      <c r="H48" s="49">
        <f t="shared" si="44"/>
        <v>-5.481307669100044E-2</v>
      </c>
      <c r="I48" s="82">
        <f t="shared" ref="I48:J48" si="45">AVERAGE(I37:I42)</f>
        <v>0.90887530418866336</v>
      </c>
      <c r="J48" s="82">
        <f t="shared" si="45"/>
        <v>1.3006906201432382</v>
      </c>
      <c r="K48" s="17">
        <f>+E48/C48-1</f>
        <v>-9.1268917345750711E-2</v>
      </c>
      <c r="L48" s="71">
        <f t="shared" ref="L48" si="46">AVERAGE(L37:L42)</f>
        <v>-87.845000000000013</v>
      </c>
      <c r="M48" s="18">
        <f>+J48/I48</f>
        <v>1.4310990893347479</v>
      </c>
      <c r="N48" s="59">
        <f t="shared" ref="N48" si="47">AVERAGE(N37:N42)</f>
        <v>876.33797494817156</v>
      </c>
      <c r="O48" s="85">
        <f>AVERAGE(O37:O41)</f>
        <v>3.1614736743522706E-2</v>
      </c>
      <c r="Y48" s="159">
        <f>AVERAGE(Y37:Y41)</f>
        <v>24.075294293759111</v>
      </c>
    </row>
    <row r="49" spans="1:25" s="42" customFormat="1" ht="3.75" customHeight="1" x14ac:dyDescent="0.25">
      <c r="A49" s="8"/>
      <c r="B49" s="41"/>
      <c r="C49" s="41"/>
      <c r="D49" s="41"/>
      <c r="E49" s="43"/>
      <c r="F49" s="43"/>
      <c r="G49" s="43"/>
      <c r="H49" s="43"/>
      <c r="I49" s="44"/>
      <c r="J49" s="44"/>
      <c r="K49" s="45"/>
      <c r="L49" s="46"/>
      <c r="M49" s="47"/>
      <c r="N49" s="48"/>
      <c r="O49" s="45"/>
      <c r="Y49" s="289"/>
    </row>
    <row r="50" spans="1:25" x14ac:dyDescent="0.25">
      <c r="A50" s="54" t="s">
        <v>143</v>
      </c>
      <c r="B50" s="54"/>
      <c r="C50" s="54"/>
      <c r="D50" s="54"/>
      <c r="E50" s="53"/>
      <c r="F50" s="53"/>
      <c r="G50" s="53"/>
      <c r="H50" s="53"/>
      <c r="I50" s="53"/>
      <c r="J50" s="53"/>
      <c r="K50" s="55"/>
      <c r="L50" s="53"/>
      <c r="M50" s="53"/>
      <c r="N50" s="163"/>
      <c r="O50" s="162"/>
    </row>
    <row r="51" spans="1:25" x14ac:dyDescent="0.25">
      <c r="A51" s="246" t="s">
        <v>264</v>
      </c>
      <c r="B51" s="53"/>
      <c r="C51" s="53"/>
      <c r="D51" s="53"/>
      <c r="E51" s="53"/>
      <c r="F51" s="53"/>
      <c r="G51" s="53"/>
      <c r="H51" s="53"/>
      <c r="I51" s="53"/>
      <c r="J51" s="53"/>
      <c r="K51" s="55"/>
      <c r="L51" s="53"/>
      <c r="M51" s="53"/>
      <c r="N51" s="53"/>
      <c r="O51" s="53"/>
    </row>
    <row r="52" spans="1:25" x14ac:dyDescent="0.25">
      <c r="A52" s="246" t="s">
        <v>213</v>
      </c>
      <c r="B52" s="53"/>
      <c r="C52" s="53"/>
      <c r="D52" s="53"/>
      <c r="E52" s="53"/>
      <c r="F52" s="53"/>
      <c r="G52" s="53"/>
      <c r="H52" s="53"/>
      <c r="I52" s="53"/>
      <c r="J52" s="53"/>
      <c r="K52" s="55"/>
      <c r="L52" s="53"/>
      <c r="M52" s="53"/>
      <c r="N52" s="53"/>
      <c r="O52" s="53"/>
    </row>
    <row r="53" spans="1:25" x14ac:dyDescent="0.25">
      <c r="A53" s="246" t="s">
        <v>265</v>
      </c>
      <c r="B53" s="54"/>
      <c r="C53" s="54"/>
      <c r="D53" s="54"/>
      <c r="E53" s="53"/>
      <c r="F53" s="53"/>
      <c r="G53" s="53"/>
      <c r="H53" s="53"/>
      <c r="I53" s="53"/>
      <c r="J53" s="53"/>
      <c r="K53" s="55"/>
      <c r="L53" s="53"/>
      <c r="M53" s="53"/>
      <c r="N53" s="53"/>
      <c r="O53" s="53"/>
    </row>
    <row r="54" spans="1:25" x14ac:dyDescent="0.25">
      <c r="A54" s="56" t="s">
        <v>137</v>
      </c>
      <c r="B54" s="57"/>
      <c r="C54" s="57"/>
      <c r="D54" s="57"/>
      <c r="E54" s="53"/>
      <c r="F54" s="53"/>
      <c r="G54" s="53"/>
      <c r="H54" s="53"/>
      <c r="I54" s="53"/>
      <c r="J54" s="53"/>
      <c r="K54" s="55"/>
      <c r="L54" s="53"/>
      <c r="M54" s="53"/>
      <c r="N54" s="53"/>
      <c r="O54" s="53"/>
    </row>
  </sheetData>
  <mergeCells count="4">
    <mergeCell ref="A2:H2"/>
    <mergeCell ref="I2:N2"/>
    <mergeCell ref="A1:O1"/>
    <mergeCell ref="K4:L4"/>
  </mergeCells>
  <pageMargins left="0.25" right="0.25" top="0.25" bottom="0.25" header="0.31" footer="0.3"/>
  <pageSetup scale="80" orientation="portrait" r:id="rId1"/>
  <headerFooter>
    <oddFooter>&amp;LS. Pratt&amp;RJune 2019</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zoomScale="110" zoomScaleNormal="110" workbookViewId="0">
      <pane ySplit="8" topLeftCell="A9" activePane="bottomLeft" state="frozen"/>
      <selection sqref="A1:O1"/>
      <selection pane="bottomLeft" sqref="A1:O1"/>
    </sheetView>
  </sheetViews>
  <sheetFormatPr defaultRowHeight="15" x14ac:dyDescent="0.25"/>
  <cols>
    <col min="1" max="1" width="7.28515625" style="3" customWidth="1"/>
    <col min="2" max="2" width="8.85546875" style="3" customWidth="1"/>
    <col min="3" max="3" width="8.7109375" style="3" bestFit="1" customWidth="1"/>
    <col min="4" max="4" width="8.85546875" style="3" bestFit="1" customWidth="1"/>
    <col min="5" max="7" width="9" style="3" bestFit="1" customWidth="1"/>
    <col min="8" max="8" width="8.85546875" style="3" bestFit="1" customWidth="1"/>
    <col min="9" max="9" width="12.7109375" style="3" customWidth="1"/>
    <col min="10" max="10" width="11.140625" style="3" customWidth="1"/>
    <col min="11" max="11" width="43.85546875" style="3" customWidth="1"/>
  </cols>
  <sheetData>
    <row r="1" spans="1:12" x14ac:dyDescent="0.25">
      <c r="A1" s="392" t="s">
        <v>259</v>
      </c>
      <c r="B1" s="393"/>
      <c r="C1" s="393"/>
      <c r="D1" s="393"/>
      <c r="E1" s="393"/>
      <c r="F1" s="393"/>
      <c r="G1" s="393"/>
      <c r="H1" s="393"/>
      <c r="I1" s="393"/>
      <c r="J1" s="393"/>
      <c r="K1" s="394"/>
    </row>
    <row r="2" spans="1:12" ht="15.75" x14ac:dyDescent="0.25">
      <c r="A2" s="395" t="s">
        <v>249</v>
      </c>
      <c r="B2" s="396"/>
      <c r="C2" s="396"/>
      <c r="D2" s="396"/>
      <c r="E2" s="396"/>
      <c r="F2" s="396"/>
      <c r="G2" s="396"/>
      <c r="H2" s="396"/>
      <c r="I2" s="396"/>
      <c r="J2" s="396"/>
      <c r="K2" s="397"/>
    </row>
    <row r="3" spans="1:12" x14ac:dyDescent="0.25">
      <c r="A3" s="398" t="s">
        <v>250</v>
      </c>
      <c r="B3" s="399"/>
      <c r="C3" s="399"/>
      <c r="D3" s="399"/>
      <c r="E3" s="399"/>
      <c r="F3" s="399"/>
      <c r="G3" s="399"/>
      <c r="H3" s="399"/>
      <c r="I3" s="399"/>
      <c r="J3" s="399"/>
      <c r="K3" s="400"/>
    </row>
    <row r="4" spans="1:12" x14ac:dyDescent="0.25">
      <c r="A4" s="401"/>
      <c r="B4" s="402"/>
      <c r="C4" s="402"/>
      <c r="D4" s="402"/>
      <c r="E4" s="402"/>
      <c r="F4" s="402"/>
      <c r="G4" s="402"/>
      <c r="H4" s="402"/>
      <c r="I4" s="402"/>
      <c r="J4" s="402"/>
      <c r="K4" s="403"/>
    </row>
    <row r="5" spans="1:12" ht="9.75" customHeight="1" x14ac:dyDescent="0.25">
      <c r="A5" s="133"/>
      <c r="B5" s="133"/>
      <c r="C5" s="133"/>
      <c r="D5" s="133"/>
      <c r="E5" s="243"/>
      <c r="F5" s="133"/>
      <c r="G5" s="243"/>
      <c r="H5" s="133"/>
      <c r="I5" s="133"/>
      <c r="J5" s="133"/>
      <c r="K5" s="133"/>
    </row>
    <row r="6" spans="1:12" ht="15.75" x14ac:dyDescent="0.25">
      <c r="A6" s="374" t="s">
        <v>129</v>
      </c>
      <c r="B6" s="375"/>
      <c r="C6" s="375"/>
      <c r="D6" s="375"/>
      <c r="E6" s="375"/>
      <c r="F6" s="375"/>
      <c r="G6" s="375"/>
      <c r="H6" s="375"/>
      <c r="I6" s="375"/>
      <c r="J6" s="406"/>
      <c r="K6" s="385" t="s">
        <v>256</v>
      </c>
    </row>
    <row r="7" spans="1:12" x14ac:dyDescent="0.25">
      <c r="A7" s="407" t="s">
        <v>157</v>
      </c>
      <c r="B7" s="408"/>
      <c r="C7" s="408"/>
      <c r="D7" s="83" t="s">
        <v>178</v>
      </c>
      <c r="E7" s="244"/>
      <c r="F7" s="134" t="s">
        <v>178</v>
      </c>
      <c r="G7" s="244"/>
      <c r="H7" s="72" t="s">
        <v>178</v>
      </c>
      <c r="I7" s="404" t="s">
        <v>130</v>
      </c>
      <c r="J7" s="405"/>
      <c r="K7" s="386"/>
    </row>
    <row r="8" spans="1:12" ht="45" x14ac:dyDescent="0.25">
      <c r="A8" s="201" t="s">
        <v>1</v>
      </c>
      <c r="B8" s="202" t="s">
        <v>41</v>
      </c>
      <c r="C8" s="202" t="s">
        <v>114</v>
      </c>
      <c r="D8" s="203" t="s">
        <v>175</v>
      </c>
      <c r="E8" s="203" t="s">
        <v>320</v>
      </c>
      <c r="F8" s="203" t="s">
        <v>176</v>
      </c>
      <c r="G8" s="203" t="s">
        <v>321</v>
      </c>
      <c r="H8" s="67" t="s">
        <v>177</v>
      </c>
      <c r="I8" s="67" t="s">
        <v>156</v>
      </c>
      <c r="J8" s="68" t="s">
        <v>155</v>
      </c>
      <c r="K8" s="387"/>
    </row>
    <row r="9" spans="1:12" x14ac:dyDescent="0.25">
      <c r="A9" s="166" t="s">
        <v>240</v>
      </c>
      <c r="B9" s="167">
        <v>710</v>
      </c>
      <c r="C9" s="167"/>
      <c r="D9" s="168" t="s">
        <v>244</v>
      </c>
      <c r="E9" s="168" t="s">
        <v>245</v>
      </c>
      <c r="F9" s="200" t="s">
        <v>246</v>
      </c>
      <c r="G9" s="200" t="s">
        <v>248</v>
      </c>
      <c r="H9" s="169" t="s">
        <v>247</v>
      </c>
      <c r="I9" s="183">
        <f>+I10/195</f>
        <v>0.34987179487179482</v>
      </c>
      <c r="J9" s="388">
        <f>+I9/100</f>
        <v>3.4987179487179481E-3</v>
      </c>
      <c r="K9" s="391" t="s">
        <v>241</v>
      </c>
    </row>
    <row r="10" spans="1:12" x14ac:dyDescent="0.25">
      <c r="A10" s="184" t="s">
        <v>121</v>
      </c>
      <c r="B10" s="171"/>
      <c r="C10" s="256">
        <f>+TaxRates_1982_2019!G5</f>
        <v>27.29</v>
      </c>
      <c r="D10" s="172">
        <v>828</v>
      </c>
      <c r="E10" s="172">
        <v>1248</v>
      </c>
      <c r="F10" s="172">
        <v>1665</v>
      </c>
      <c r="G10" s="172">
        <v>2080</v>
      </c>
      <c r="H10" s="173">
        <v>2500</v>
      </c>
      <c r="I10" s="174">
        <f>+H10/1000*C10</f>
        <v>68.224999999999994</v>
      </c>
      <c r="J10" s="389"/>
      <c r="K10" s="384"/>
    </row>
    <row r="11" spans="1:12" x14ac:dyDescent="0.25">
      <c r="A11" s="343" t="str">
        <f>+A9</f>
        <v>FY2019</v>
      </c>
      <c r="B11" s="344">
        <v>710</v>
      </c>
      <c r="C11" s="344"/>
      <c r="D11" s="344" t="s">
        <v>244</v>
      </c>
      <c r="E11" s="344" t="s">
        <v>245</v>
      </c>
      <c r="F11" s="344" t="s">
        <v>246</v>
      </c>
      <c r="G11" s="344" t="s">
        <v>248</v>
      </c>
      <c r="H11" s="345" t="s">
        <v>247</v>
      </c>
      <c r="I11" s="346">
        <f>+I12/195</f>
        <v>0.24129089301503093</v>
      </c>
      <c r="J11" s="409">
        <f t="shared" ref="J11" si="0">+I11/100</f>
        <v>2.4129089301503093E-3</v>
      </c>
      <c r="K11" s="390" t="s">
        <v>145</v>
      </c>
    </row>
    <row r="12" spans="1:12" x14ac:dyDescent="0.25">
      <c r="A12" s="347" t="s">
        <v>300</v>
      </c>
      <c r="B12" s="348"/>
      <c r="C12" s="349">
        <f>+TaxRates_1982_2019!C4</f>
        <v>18.820689655172412</v>
      </c>
      <c r="D12" s="350">
        <v>828</v>
      </c>
      <c r="E12" s="350">
        <v>1248</v>
      </c>
      <c r="F12" s="350">
        <v>1665</v>
      </c>
      <c r="G12" s="350">
        <v>2080</v>
      </c>
      <c r="H12" s="351">
        <v>2500</v>
      </c>
      <c r="I12" s="351">
        <f>+H12/1000*C12</f>
        <v>47.051724137931032</v>
      </c>
      <c r="J12" s="410"/>
      <c r="K12" s="390"/>
    </row>
    <row r="13" spans="1:12" x14ac:dyDescent="0.25">
      <c r="A13" s="175" t="str">
        <f>+A11</f>
        <v>FY2019</v>
      </c>
      <c r="B13" s="176">
        <v>710</v>
      </c>
      <c r="C13" s="176"/>
      <c r="D13" s="176" t="s">
        <v>244</v>
      </c>
      <c r="E13" s="176" t="s">
        <v>245</v>
      </c>
      <c r="F13" s="176" t="s">
        <v>246</v>
      </c>
      <c r="G13" s="176" t="s">
        <v>248</v>
      </c>
      <c r="H13" s="177" t="s">
        <v>247</v>
      </c>
      <c r="I13" s="204">
        <f>+I14/195</f>
        <v>0.36193633952254639</v>
      </c>
      <c r="J13" s="412">
        <f t="shared" ref="J13" si="1">+I13/100</f>
        <v>3.6193633952254639E-3</v>
      </c>
      <c r="K13" s="390" t="s">
        <v>145</v>
      </c>
    </row>
    <row r="14" spans="1:12" x14ac:dyDescent="0.25">
      <c r="A14" s="262" t="s">
        <v>141</v>
      </c>
      <c r="B14" s="178"/>
      <c r="C14" s="257">
        <f>+C12*1.5</f>
        <v>28.231034482758616</v>
      </c>
      <c r="D14" s="179">
        <v>828</v>
      </c>
      <c r="E14" s="179">
        <v>1248</v>
      </c>
      <c r="F14" s="179">
        <v>1665</v>
      </c>
      <c r="G14" s="179">
        <v>2080</v>
      </c>
      <c r="H14" s="180">
        <v>2500</v>
      </c>
      <c r="I14" s="180">
        <f>+H14/1000*C14</f>
        <v>70.577586206896541</v>
      </c>
      <c r="J14" s="413"/>
      <c r="K14" s="390"/>
    </row>
    <row r="15" spans="1:12" x14ac:dyDescent="0.25">
      <c r="A15" s="166" t="s">
        <v>168</v>
      </c>
      <c r="B15" s="167">
        <v>710</v>
      </c>
      <c r="C15" s="167"/>
      <c r="D15" s="168" t="s">
        <v>170</v>
      </c>
      <c r="E15" s="168" t="s">
        <v>173</v>
      </c>
      <c r="F15" s="200" t="s">
        <v>171</v>
      </c>
      <c r="G15" s="200" t="s">
        <v>174</v>
      </c>
      <c r="H15" s="169" t="s">
        <v>172</v>
      </c>
      <c r="I15" s="183">
        <f>+I16/230</f>
        <v>0.37197391304347827</v>
      </c>
      <c r="J15" s="388">
        <f>+I15/100</f>
        <v>3.7197391304347825E-3</v>
      </c>
      <c r="K15" s="381" t="s">
        <v>169</v>
      </c>
    </row>
    <row r="16" spans="1:12" x14ac:dyDescent="0.25">
      <c r="A16" s="184" t="s">
        <v>121</v>
      </c>
      <c r="B16" s="171"/>
      <c r="C16" s="256">
        <f>+TaxRates_1982_2019!G6</f>
        <v>27.16</v>
      </c>
      <c r="D16" s="172">
        <v>1350</v>
      </c>
      <c r="E16" s="172">
        <v>1800</v>
      </c>
      <c r="F16" s="172">
        <v>2250</v>
      </c>
      <c r="G16" s="172">
        <v>2700</v>
      </c>
      <c r="H16" s="173">
        <v>3150</v>
      </c>
      <c r="I16" s="174">
        <f>+H16/1000*C16</f>
        <v>85.554000000000002</v>
      </c>
      <c r="J16" s="389"/>
      <c r="K16" s="381"/>
      <c r="L16" s="263"/>
    </row>
    <row r="17" spans="1:11" x14ac:dyDescent="0.25">
      <c r="A17" s="166" t="s">
        <v>163</v>
      </c>
      <c r="B17" s="167">
        <v>710</v>
      </c>
      <c r="C17" s="167"/>
      <c r="D17" s="168" t="s">
        <v>165</v>
      </c>
      <c r="E17" s="168"/>
      <c r="F17" s="168" t="s">
        <v>166</v>
      </c>
      <c r="G17" s="168"/>
      <c r="H17" s="169" t="s">
        <v>167</v>
      </c>
      <c r="I17" s="183">
        <f>+I18/198</f>
        <v>0.41544303030303026</v>
      </c>
      <c r="J17" s="388">
        <f>+I17/100</f>
        <v>4.1544303030303029E-3</v>
      </c>
      <c r="K17" s="381" t="s">
        <v>164</v>
      </c>
    </row>
    <row r="18" spans="1:11" x14ac:dyDescent="0.25">
      <c r="A18" s="184" t="s">
        <v>121</v>
      </c>
      <c r="B18" s="171"/>
      <c r="C18" s="256">
        <f>+TaxRates_1982_2019!G7</f>
        <v>27.31</v>
      </c>
      <c r="D18" s="172">
        <v>2008</v>
      </c>
      <c r="E18" s="172"/>
      <c r="F18" s="172">
        <v>2510</v>
      </c>
      <c r="G18" s="172"/>
      <c r="H18" s="173">
        <v>3012</v>
      </c>
      <c r="I18" s="174">
        <f>+H18/1000*C18</f>
        <v>82.257719999999992</v>
      </c>
      <c r="J18" s="389"/>
      <c r="K18" s="381"/>
    </row>
    <row r="19" spans="1:11" x14ac:dyDescent="0.25">
      <c r="A19" s="166" t="s">
        <v>150</v>
      </c>
      <c r="B19" s="167">
        <v>710</v>
      </c>
      <c r="C19" s="167"/>
      <c r="D19" s="168" t="s">
        <v>152</v>
      </c>
      <c r="E19" s="168"/>
      <c r="F19" s="168" t="s">
        <v>153</v>
      </c>
      <c r="G19" s="168"/>
      <c r="H19" s="169" t="s">
        <v>154</v>
      </c>
      <c r="I19" s="183">
        <f>+I20/167</f>
        <v>0.37880443113772455</v>
      </c>
      <c r="J19" s="388">
        <f>+I19/100</f>
        <v>3.7880443113772456E-3</v>
      </c>
      <c r="K19" s="381" t="s">
        <v>151</v>
      </c>
    </row>
    <row r="20" spans="1:11" x14ac:dyDescent="0.25">
      <c r="A20" s="184" t="s">
        <v>121</v>
      </c>
      <c r="B20" s="171"/>
      <c r="C20" s="256">
        <f>+TaxRates_1982_2019!G8</f>
        <v>26.26</v>
      </c>
      <c r="D20" s="172">
        <v>1606</v>
      </c>
      <c r="E20" s="172"/>
      <c r="F20" s="172">
        <v>2008</v>
      </c>
      <c r="G20" s="172"/>
      <c r="H20" s="173">
        <v>2409</v>
      </c>
      <c r="I20" s="174">
        <f>+H20/1000*C20</f>
        <v>63.260339999999999</v>
      </c>
      <c r="J20" s="389"/>
      <c r="K20" s="381"/>
    </row>
    <row r="21" spans="1:11" x14ac:dyDescent="0.25">
      <c r="A21" s="166" t="s">
        <v>144</v>
      </c>
      <c r="B21" s="167">
        <v>710</v>
      </c>
      <c r="C21" s="167"/>
      <c r="D21" s="168" t="s">
        <v>146</v>
      </c>
      <c r="E21" s="168"/>
      <c r="F21" s="168" t="s">
        <v>147</v>
      </c>
      <c r="G21" s="168"/>
      <c r="H21" s="169" t="s">
        <v>148</v>
      </c>
      <c r="I21" s="183">
        <f>+I22/197</f>
        <v>0.31965106598984766</v>
      </c>
      <c r="J21" s="388">
        <f>+I21/100</f>
        <v>3.1965106598984766E-3</v>
      </c>
      <c r="K21" s="381" t="s">
        <v>149</v>
      </c>
    </row>
    <row r="22" spans="1:11" x14ac:dyDescent="0.25">
      <c r="A22" s="184" t="s">
        <v>121</v>
      </c>
      <c r="B22" s="171"/>
      <c r="C22" s="256">
        <f>+TaxRates_1982_2019!G9</f>
        <v>26.14</v>
      </c>
      <c r="D22" s="172">
        <v>1606</v>
      </c>
      <c r="E22" s="172"/>
      <c r="F22" s="172">
        <v>2008</v>
      </c>
      <c r="G22" s="172"/>
      <c r="H22" s="173">
        <v>2409</v>
      </c>
      <c r="I22" s="174">
        <f>+H22/1000*C22</f>
        <v>62.971259999999994</v>
      </c>
      <c r="J22" s="389"/>
      <c r="K22" s="381"/>
    </row>
    <row r="23" spans="1:11" x14ac:dyDescent="0.25">
      <c r="A23" s="166" t="s">
        <v>42</v>
      </c>
      <c r="B23" s="167">
        <v>710</v>
      </c>
      <c r="C23" s="167"/>
      <c r="D23" s="168" t="s">
        <v>43</v>
      </c>
      <c r="E23" s="168"/>
      <c r="F23" s="168" t="s">
        <v>44</v>
      </c>
      <c r="G23" s="168"/>
      <c r="H23" s="169" t="s">
        <v>45</v>
      </c>
      <c r="I23" s="183">
        <f>+I24/214</f>
        <v>0.26611570093457942</v>
      </c>
      <c r="J23" s="388">
        <f>+I23/100</f>
        <v>2.661157009345794E-3</v>
      </c>
      <c r="K23" s="381" t="s">
        <v>46</v>
      </c>
    </row>
    <row r="24" spans="1:11" x14ac:dyDescent="0.25">
      <c r="A24" s="184" t="s">
        <v>121</v>
      </c>
      <c r="B24" s="171"/>
      <c r="C24" s="256">
        <f>+TaxRates_1982_2019!G10</f>
        <v>23.64</v>
      </c>
      <c r="D24" s="172">
        <v>1606</v>
      </c>
      <c r="E24" s="172"/>
      <c r="F24" s="172">
        <v>2008</v>
      </c>
      <c r="G24" s="172"/>
      <c r="H24" s="173">
        <v>2409</v>
      </c>
      <c r="I24" s="174">
        <f>+H24/1000*C24</f>
        <v>56.94876</v>
      </c>
      <c r="J24" s="389"/>
      <c r="K24" s="381"/>
    </row>
    <row r="25" spans="1:11" x14ac:dyDescent="0.25">
      <c r="A25" s="166" t="s">
        <v>47</v>
      </c>
      <c r="B25" s="167">
        <v>710</v>
      </c>
      <c r="C25" s="197"/>
      <c r="D25" s="167" t="s">
        <v>48</v>
      </c>
      <c r="E25" s="167"/>
      <c r="F25" s="167" t="s">
        <v>49</v>
      </c>
      <c r="G25" s="167"/>
      <c r="H25" s="182" t="s">
        <v>50</v>
      </c>
      <c r="I25" s="183">
        <f>+I26/174</f>
        <v>0.3142775862068965</v>
      </c>
      <c r="J25" s="388">
        <f>+I25/100</f>
        <v>3.1427758620689648E-3</v>
      </c>
      <c r="K25" s="381" t="s">
        <v>51</v>
      </c>
    </row>
    <row r="26" spans="1:11" x14ac:dyDescent="0.25">
      <c r="A26" s="184" t="s">
        <v>121</v>
      </c>
      <c r="B26" s="171"/>
      <c r="C26" s="256">
        <f>+TaxRates_1982_2019!G11</f>
        <v>22.7</v>
      </c>
      <c r="D26" s="172">
        <v>1606</v>
      </c>
      <c r="E26" s="172"/>
      <c r="F26" s="172">
        <v>2008</v>
      </c>
      <c r="G26" s="172"/>
      <c r="H26" s="173">
        <v>2409</v>
      </c>
      <c r="I26" s="185">
        <f>+H26/1000*C26</f>
        <v>54.684299999999993</v>
      </c>
      <c r="J26" s="389"/>
      <c r="K26" s="381"/>
    </row>
    <row r="27" spans="1:11" x14ac:dyDescent="0.25">
      <c r="A27" s="166" t="s">
        <v>40</v>
      </c>
      <c r="B27" s="167">
        <v>710</v>
      </c>
      <c r="C27" s="167"/>
      <c r="D27" s="167" t="s">
        <v>52</v>
      </c>
      <c r="E27" s="167"/>
      <c r="F27" s="167" t="s">
        <v>53</v>
      </c>
      <c r="G27" s="167"/>
      <c r="H27" s="182" t="s">
        <v>54</v>
      </c>
      <c r="I27" s="183">
        <f>+I28/168</f>
        <v>0.30729089285714284</v>
      </c>
      <c r="J27" s="388">
        <f>+I27/100</f>
        <v>3.0729089285714286E-3</v>
      </c>
      <c r="K27" s="381" t="s">
        <v>55</v>
      </c>
    </row>
    <row r="28" spans="1:11" x14ac:dyDescent="0.25">
      <c r="A28" s="184" t="s">
        <v>121</v>
      </c>
      <c r="B28" s="171"/>
      <c r="C28" s="256">
        <f>+TaxRates_1982_2019!G12</f>
        <v>21.43</v>
      </c>
      <c r="D28" s="172">
        <v>1606</v>
      </c>
      <c r="E28" s="172"/>
      <c r="F28" s="172">
        <v>2008</v>
      </c>
      <c r="G28" s="172"/>
      <c r="H28" s="173">
        <v>2409</v>
      </c>
      <c r="I28" s="185">
        <f>+H28/1000*C28</f>
        <v>51.624869999999994</v>
      </c>
      <c r="J28" s="389"/>
      <c r="K28" s="381"/>
    </row>
    <row r="29" spans="1:11" x14ac:dyDescent="0.25">
      <c r="A29" s="166" t="s">
        <v>56</v>
      </c>
      <c r="B29" s="167">
        <v>710</v>
      </c>
      <c r="C29" s="167"/>
      <c r="D29" s="167" t="s">
        <v>57</v>
      </c>
      <c r="E29" s="167"/>
      <c r="F29" s="167" t="s">
        <v>58</v>
      </c>
      <c r="G29" s="167"/>
      <c r="H29" s="182" t="s">
        <v>59</v>
      </c>
      <c r="I29" s="183">
        <f>+I30/219</f>
        <v>0.22494999999999998</v>
      </c>
      <c r="J29" s="388">
        <f>+I29/100</f>
        <v>2.2494999999999998E-3</v>
      </c>
      <c r="K29" s="383" t="s">
        <v>60</v>
      </c>
    </row>
    <row r="30" spans="1:11" x14ac:dyDescent="0.25">
      <c r="A30" s="184" t="s">
        <v>121</v>
      </c>
      <c r="B30" s="171"/>
      <c r="C30" s="256">
        <f>+TaxRates_1982_2019!G13</f>
        <v>20.45</v>
      </c>
      <c r="D30" s="172">
        <v>1606</v>
      </c>
      <c r="E30" s="172"/>
      <c r="F30" s="172">
        <v>2008</v>
      </c>
      <c r="G30" s="172"/>
      <c r="H30" s="173">
        <v>2409</v>
      </c>
      <c r="I30" s="185">
        <f>+H30/1000*C30</f>
        <v>49.264049999999997</v>
      </c>
      <c r="J30" s="389"/>
      <c r="K30" s="383"/>
    </row>
    <row r="31" spans="1:11" x14ac:dyDescent="0.25">
      <c r="A31" s="166" t="s">
        <v>61</v>
      </c>
      <c r="B31" s="167">
        <v>710</v>
      </c>
      <c r="C31" s="167"/>
      <c r="D31" s="167" t="s">
        <v>62</v>
      </c>
      <c r="E31" s="167"/>
      <c r="F31" s="167" t="s">
        <v>63</v>
      </c>
      <c r="G31" s="167"/>
      <c r="H31" s="182" t="s">
        <v>64</v>
      </c>
      <c r="I31" s="183">
        <f>+I32/134</f>
        <v>0.34768701492537307</v>
      </c>
      <c r="J31" s="388">
        <f>+I31/100</f>
        <v>3.4768701492537309E-3</v>
      </c>
      <c r="K31" s="381" t="s">
        <v>65</v>
      </c>
    </row>
    <row r="32" spans="1:11" x14ac:dyDescent="0.25">
      <c r="A32" s="184" t="s">
        <v>121</v>
      </c>
      <c r="B32" s="186"/>
      <c r="C32" s="256">
        <f>+TaxRates_1982_2019!G14</f>
        <v>19.34</v>
      </c>
      <c r="D32" s="172">
        <v>1606</v>
      </c>
      <c r="E32" s="172"/>
      <c r="F32" s="172">
        <v>2008</v>
      </c>
      <c r="G32" s="172"/>
      <c r="H32" s="173">
        <v>2409</v>
      </c>
      <c r="I32" s="185">
        <f>+H32/1000*C32</f>
        <v>46.590059999999994</v>
      </c>
      <c r="J32" s="389"/>
      <c r="K32" s="381"/>
    </row>
    <row r="33" spans="1:11" x14ac:dyDescent="0.25">
      <c r="A33" s="166" t="s">
        <v>66</v>
      </c>
      <c r="B33" s="167">
        <v>710</v>
      </c>
      <c r="C33" s="167"/>
      <c r="D33" s="167" t="s">
        <v>67</v>
      </c>
      <c r="E33" s="167"/>
      <c r="F33" s="167" t="s">
        <v>68</v>
      </c>
      <c r="G33" s="167"/>
      <c r="H33" s="182" t="s">
        <v>69</v>
      </c>
      <c r="I33" s="183">
        <f>+I34/163</f>
        <v>0.27237957055214723</v>
      </c>
      <c r="J33" s="388">
        <f>+I33/100</f>
        <v>2.7237957055214722E-3</v>
      </c>
      <c r="K33" s="381" t="s">
        <v>70</v>
      </c>
    </row>
    <row r="34" spans="1:11" x14ac:dyDescent="0.25">
      <c r="A34" s="184" t="s">
        <v>121</v>
      </c>
      <c r="B34" s="171"/>
      <c r="C34" s="256">
        <f>+TaxRates_1982_2019!G15</f>
        <v>18.43</v>
      </c>
      <c r="D34" s="172">
        <v>1606</v>
      </c>
      <c r="E34" s="172"/>
      <c r="F34" s="172">
        <v>2008</v>
      </c>
      <c r="G34" s="172"/>
      <c r="H34" s="173">
        <v>2409</v>
      </c>
      <c r="I34" s="185">
        <f>+H34/1000*C34</f>
        <v>44.397869999999998</v>
      </c>
      <c r="J34" s="389"/>
      <c r="K34" s="381"/>
    </row>
    <row r="35" spans="1:11" x14ac:dyDescent="0.25">
      <c r="A35" s="166" t="s">
        <v>71</v>
      </c>
      <c r="B35" s="167">
        <v>710</v>
      </c>
      <c r="C35" s="167"/>
      <c r="D35" s="167" t="s">
        <v>72</v>
      </c>
      <c r="E35" s="167"/>
      <c r="F35" s="167" t="s">
        <v>73</v>
      </c>
      <c r="G35" s="167"/>
      <c r="H35" s="182" t="s">
        <v>74</v>
      </c>
      <c r="I35" s="183">
        <f>+I36/122</f>
        <v>0.34535581967213108</v>
      </c>
      <c r="J35" s="388">
        <f>+I35/100</f>
        <v>3.4535581967213109E-3</v>
      </c>
      <c r="K35" s="381" t="s">
        <v>75</v>
      </c>
    </row>
    <row r="36" spans="1:11" x14ac:dyDescent="0.25">
      <c r="A36" s="184" t="s">
        <v>121</v>
      </c>
      <c r="B36" s="171"/>
      <c r="C36" s="256">
        <f>+TaxRates_1982_2019!G16</f>
        <v>17.489999999999998</v>
      </c>
      <c r="D36" s="172">
        <v>1606</v>
      </c>
      <c r="E36" s="172"/>
      <c r="F36" s="172">
        <v>2008</v>
      </c>
      <c r="G36" s="172"/>
      <c r="H36" s="173">
        <v>2409</v>
      </c>
      <c r="I36" s="185">
        <f>+H36/1000*C36</f>
        <v>42.133409999999991</v>
      </c>
      <c r="J36" s="389"/>
      <c r="K36" s="381"/>
    </row>
    <row r="37" spans="1:11" x14ac:dyDescent="0.25">
      <c r="A37" s="166" t="s">
        <v>76</v>
      </c>
      <c r="B37" s="167">
        <v>710</v>
      </c>
      <c r="C37" s="167"/>
      <c r="D37" s="167" t="s">
        <v>77</v>
      </c>
      <c r="E37" s="167"/>
      <c r="F37" s="167" t="s">
        <v>78</v>
      </c>
      <c r="G37" s="167"/>
      <c r="H37" s="182" t="s">
        <v>79</v>
      </c>
      <c r="I37" s="183">
        <f>+I38/154</f>
        <v>0.27609642857142852</v>
      </c>
      <c r="J37" s="388">
        <f>+I37/100</f>
        <v>2.760964285714285E-3</v>
      </c>
      <c r="K37" s="384" t="s">
        <v>80</v>
      </c>
    </row>
    <row r="38" spans="1:11" x14ac:dyDescent="0.25">
      <c r="A38" s="184" t="s">
        <v>121</v>
      </c>
      <c r="B38" s="171"/>
      <c r="C38" s="256">
        <f>+TaxRates_1982_2019!G17</f>
        <v>17.649999999999999</v>
      </c>
      <c r="D38" s="172">
        <v>1606</v>
      </c>
      <c r="E38" s="172"/>
      <c r="F38" s="172">
        <v>2008</v>
      </c>
      <c r="G38" s="172"/>
      <c r="H38" s="173">
        <v>2409</v>
      </c>
      <c r="I38" s="185">
        <f>+H38/1000*C38</f>
        <v>42.518849999999993</v>
      </c>
      <c r="J38" s="389"/>
      <c r="K38" s="384"/>
    </row>
    <row r="39" spans="1:11" x14ac:dyDescent="0.25">
      <c r="A39" s="166" t="s">
        <v>81</v>
      </c>
      <c r="B39" s="167">
        <v>710</v>
      </c>
      <c r="C39" s="167"/>
      <c r="D39" s="167" t="s">
        <v>82</v>
      </c>
      <c r="E39" s="167"/>
      <c r="F39" s="167" t="s">
        <v>83</v>
      </c>
      <c r="G39" s="167"/>
      <c r="H39" s="182" t="s">
        <v>84</v>
      </c>
      <c r="I39" s="187">
        <f>+I40/119</f>
        <v>0.33806974789915961</v>
      </c>
      <c r="J39" s="388">
        <f>+I39/100</f>
        <v>3.3806974789915962E-3</v>
      </c>
      <c r="K39" s="384" t="s">
        <v>85</v>
      </c>
    </row>
    <row r="40" spans="1:11" x14ac:dyDescent="0.25">
      <c r="A40" s="184" t="s">
        <v>121</v>
      </c>
      <c r="B40" s="171"/>
      <c r="C40" s="256">
        <f>+TaxRates_1982_2019!G18</f>
        <v>16.7</v>
      </c>
      <c r="D40" s="172">
        <v>1606</v>
      </c>
      <c r="E40" s="172"/>
      <c r="F40" s="172">
        <v>2008</v>
      </c>
      <c r="G40" s="172"/>
      <c r="H40" s="173">
        <v>2409</v>
      </c>
      <c r="I40" s="174">
        <f>+H40/1000*C40</f>
        <v>40.230299999999993</v>
      </c>
      <c r="J40" s="389"/>
      <c r="K40" s="384"/>
    </row>
    <row r="41" spans="1:11" x14ac:dyDescent="0.25">
      <c r="A41" s="166" t="s">
        <v>86</v>
      </c>
      <c r="B41" s="167">
        <v>710</v>
      </c>
      <c r="C41" s="167"/>
      <c r="D41" s="167" t="s">
        <v>87</v>
      </c>
      <c r="E41" s="167"/>
      <c r="F41" s="167" t="s">
        <v>88</v>
      </c>
      <c r="G41" s="167"/>
      <c r="H41" s="182" t="s">
        <v>89</v>
      </c>
      <c r="I41" s="183">
        <f>+I42/121</f>
        <v>0.35199272727272723</v>
      </c>
      <c r="J41" s="388">
        <f>+I41/100</f>
        <v>3.5199272727272721E-3</v>
      </c>
      <c r="K41" s="384" t="s">
        <v>90</v>
      </c>
    </row>
    <row r="42" spans="1:11" x14ac:dyDescent="0.25">
      <c r="A42" s="184" t="s">
        <v>121</v>
      </c>
      <c r="B42" s="171"/>
      <c r="C42" s="256">
        <f>+TaxRates_1982_2019!G19</f>
        <v>17.68</v>
      </c>
      <c r="D42" s="172">
        <v>1606</v>
      </c>
      <c r="E42" s="172"/>
      <c r="F42" s="172">
        <v>2008</v>
      </c>
      <c r="G42" s="172"/>
      <c r="H42" s="173">
        <v>2409</v>
      </c>
      <c r="I42" s="185">
        <f>+H42/1000*C42</f>
        <v>42.591119999999997</v>
      </c>
      <c r="J42" s="389"/>
      <c r="K42" s="384"/>
    </row>
    <row r="43" spans="1:11" x14ac:dyDescent="0.25">
      <c r="A43" s="166" t="s">
        <v>91</v>
      </c>
      <c r="B43" s="167">
        <v>710</v>
      </c>
      <c r="C43" s="167"/>
      <c r="D43" s="167" t="s">
        <v>92</v>
      </c>
      <c r="E43" s="167"/>
      <c r="F43" s="167" t="s">
        <v>93</v>
      </c>
      <c r="G43" s="167"/>
      <c r="H43" s="182" t="s">
        <v>94</v>
      </c>
      <c r="I43" s="188">
        <f>+I44/143</f>
        <v>0.34804153846153846</v>
      </c>
      <c r="J43" s="388">
        <f>+I43/100</f>
        <v>3.4804153846153844E-3</v>
      </c>
      <c r="K43" s="384" t="s">
        <v>95</v>
      </c>
    </row>
    <row r="44" spans="1:11" x14ac:dyDescent="0.25">
      <c r="A44" s="184" t="s">
        <v>121</v>
      </c>
      <c r="B44" s="171"/>
      <c r="C44" s="256">
        <f>+TaxRates_1982_2019!G20</f>
        <v>20.66</v>
      </c>
      <c r="D44" s="172">
        <v>1606</v>
      </c>
      <c r="E44" s="172"/>
      <c r="F44" s="172">
        <v>2008</v>
      </c>
      <c r="G44" s="172"/>
      <c r="H44" s="173">
        <v>2409</v>
      </c>
      <c r="I44" s="174">
        <f>+H44/1000*C44</f>
        <v>49.769939999999998</v>
      </c>
      <c r="J44" s="389"/>
      <c r="K44" s="384"/>
    </row>
    <row r="45" spans="1:11" x14ac:dyDescent="0.25">
      <c r="A45" s="166" t="s">
        <v>96</v>
      </c>
      <c r="B45" s="167">
        <v>710</v>
      </c>
      <c r="C45" s="167"/>
      <c r="D45" s="167" t="s">
        <v>52</v>
      </c>
      <c r="E45" s="167"/>
      <c r="F45" s="167" t="s">
        <v>53</v>
      </c>
      <c r="G45" s="167"/>
      <c r="H45" s="182" t="s">
        <v>54</v>
      </c>
      <c r="I45" s="183">
        <f>+I46/168</f>
        <v>0.87624416666666671</v>
      </c>
      <c r="J45" s="388">
        <f>+I45/100</f>
        <v>8.7624416666666673E-3</v>
      </c>
      <c r="K45" s="384" t="s">
        <v>97</v>
      </c>
    </row>
    <row r="46" spans="1:11" x14ac:dyDescent="0.25">
      <c r="A46" s="184" t="s">
        <v>121</v>
      </c>
      <c r="B46" s="171"/>
      <c r="C46" s="256">
        <f>+TaxRates_1982_2019!G21</f>
        <v>20.86</v>
      </c>
      <c r="D46" s="172">
        <v>4705</v>
      </c>
      <c r="E46" s="172"/>
      <c r="F46" s="172">
        <v>5881</v>
      </c>
      <c r="G46" s="172"/>
      <c r="H46" s="173">
        <v>7057</v>
      </c>
      <c r="I46" s="185">
        <f>+H46/1000*C46</f>
        <v>147.20902000000001</v>
      </c>
      <c r="J46" s="389"/>
      <c r="K46" s="384"/>
    </row>
    <row r="47" spans="1:11" x14ac:dyDescent="0.25">
      <c r="A47" s="166" t="s">
        <v>98</v>
      </c>
      <c r="B47" s="167"/>
      <c r="C47" s="258" t="s">
        <v>117</v>
      </c>
      <c r="D47" s="189" t="s">
        <v>119</v>
      </c>
      <c r="E47" s="189"/>
      <c r="F47" s="189" t="s">
        <v>120</v>
      </c>
      <c r="G47" s="189"/>
      <c r="H47" s="190" t="s">
        <v>118</v>
      </c>
      <c r="I47" s="191">
        <f>+I48/155</f>
        <v>0.97510941935483875</v>
      </c>
      <c r="J47" s="388">
        <f>+I47/100</f>
        <v>9.7510941935483875E-3</v>
      </c>
      <c r="K47" s="384" t="s">
        <v>99</v>
      </c>
    </row>
    <row r="48" spans="1:11" x14ac:dyDescent="0.25">
      <c r="A48" s="184" t="s">
        <v>121</v>
      </c>
      <c r="B48" s="170"/>
      <c r="C48" s="256">
        <f>+TaxRates_1982_2019!G22</f>
        <v>26.98</v>
      </c>
      <c r="D48" s="172">
        <v>3734</v>
      </c>
      <c r="E48" s="172"/>
      <c r="F48" s="172">
        <v>4668</v>
      </c>
      <c r="G48" s="172"/>
      <c r="H48" s="173">
        <v>5602</v>
      </c>
      <c r="I48" s="174">
        <f>+H48/1000*C48</f>
        <v>151.14196000000001</v>
      </c>
      <c r="J48" s="389"/>
      <c r="K48" s="384"/>
    </row>
    <row r="49" spans="1:13" x14ac:dyDescent="0.25">
      <c r="A49" s="166" t="s">
        <v>100</v>
      </c>
      <c r="B49" s="197"/>
      <c r="C49" s="167"/>
      <c r="D49" s="167" t="s">
        <v>101</v>
      </c>
      <c r="E49" s="167"/>
      <c r="F49" s="167" t="s">
        <v>102</v>
      </c>
      <c r="G49" s="167"/>
      <c r="H49" s="182" t="s">
        <v>103</v>
      </c>
      <c r="I49" s="207">
        <f>+I52/156</f>
        <v>1.8233882051282051</v>
      </c>
      <c r="J49" s="388">
        <f>+I49/100</f>
        <v>1.8233882051282051E-2</v>
      </c>
      <c r="K49" s="382" t="s">
        <v>105</v>
      </c>
    </row>
    <row r="50" spans="1:13" x14ac:dyDescent="0.25">
      <c r="A50" s="198" t="s">
        <v>104</v>
      </c>
      <c r="B50" s="192"/>
      <c r="C50" s="193"/>
      <c r="D50" s="194"/>
      <c r="E50" s="194"/>
      <c r="F50" s="193"/>
      <c r="G50" s="193"/>
      <c r="H50" s="181"/>
      <c r="I50" s="206"/>
      <c r="J50" s="411"/>
      <c r="K50" s="382"/>
    </row>
    <row r="51" spans="1:13" x14ac:dyDescent="0.25">
      <c r="A51" s="199" t="s">
        <v>301</v>
      </c>
      <c r="B51" s="192"/>
      <c r="C51" s="193" t="s">
        <v>115</v>
      </c>
      <c r="D51" s="195">
        <v>7689</v>
      </c>
      <c r="E51" s="195"/>
      <c r="F51" s="195">
        <v>9611</v>
      </c>
      <c r="G51" s="195"/>
      <c r="H51" s="196">
        <v>11533</v>
      </c>
      <c r="I51" s="206"/>
      <c r="J51" s="411"/>
      <c r="K51" s="165" t="s">
        <v>116</v>
      </c>
    </row>
    <row r="52" spans="1:13" x14ac:dyDescent="0.25">
      <c r="A52" s="184" t="s">
        <v>239</v>
      </c>
      <c r="B52" s="170"/>
      <c r="C52" s="256">
        <f>+TaxRates_1982_2019!G23</f>
        <v>27.28</v>
      </c>
      <c r="D52" s="205">
        <v>6951</v>
      </c>
      <c r="E52" s="205"/>
      <c r="F52" s="205">
        <v>8689</v>
      </c>
      <c r="G52" s="205"/>
      <c r="H52" s="174">
        <v>10427</v>
      </c>
      <c r="I52" s="205">
        <f>+H52/1000*C52</f>
        <v>284.44855999999999</v>
      </c>
      <c r="J52" s="259"/>
      <c r="K52" s="260"/>
    </row>
    <row r="53" spans="1:13" x14ac:dyDescent="0.25">
      <c r="A53" s="166" t="s">
        <v>106</v>
      </c>
      <c r="B53" s="197"/>
      <c r="C53" s="167"/>
      <c r="D53" s="167" t="s">
        <v>107</v>
      </c>
      <c r="E53" s="167"/>
      <c r="F53" s="167" t="s">
        <v>108</v>
      </c>
      <c r="G53" s="167"/>
      <c r="H53" s="182" t="s">
        <v>109</v>
      </c>
      <c r="I53" s="207">
        <f>+I56/162</f>
        <v>3.0565925925925921</v>
      </c>
      <c r="J53" s="388">
        <f>+I53/100</f>
        <v>3.056592592592592E-2</v>
      </c>
      <c r="K53" s="164" t="s">
        <v>110</v>
      </c>
    </row>
    <row r="54" spans="1:13" x14ac:dyDescent="0.25">
      <c r="A54" s="198" t="s">
        <v>104</v>
      </c>
      <c r="B54" s="192"/>
      <c r="C54" s="193"/>
      <c r="D54" s="193"/>
      <c r="E54" s="193"/>
      <c r="F54" s="193"/>
      <c r="G54" s="193"/>
      <c r="H54" s="181"/>
      <c r="I54" s="194"/>
      <c r="J54" s="411"/>
      <c r="K54" s="165" t="s">
        <v>111</v>
      </c>
    </row>
    <row r="55" spans="1:13" x14ac:dyDescent="0.25">
      <c r="A55" s="199" t="s">
        <v>301</v>
      </c>
      <c r="B55" s="192"/>
      <c r="C55" s="193" t="s">
        <v>115</v>
      </c>
      <c r="D55" s="195">
        <v>14055</v>
      </c>
      <c r="E55" s="195"/>
      <c r="F55" s="195">
        <v>17570</v>
      </c>
      <c r="G55" s="195"/>
      <c r="H55" s="196">
        <v>21085</v>
      </c>
      <c r="I55" s="194"/>
      <c r="J55" s="411"/>
      <c r="K55" s="164" t="s">
        <v>112</v>
      </c>
    </row>
    <row r="56" spans="1:13" x14ac:dyDescent="0.25">
      <c r="A56" s="184" t="s">
        <v>239</v>
      </c>
      <c r="B56" s="170"/>
      <c r="C56" s="256">
        <f>+TaxRates_1982_2019!G24</f>
        <v>25.79</v>
      </c>
      <c r="D56" s="172">
        <v>12800</v>
      </c>
      <c r="E56" s="172"/>
      <c r="F56" s="172">
        <v>16000</v>
      </c>
      <c r="G56" s="172"/>
      <c r="H56" s="173">
        <v>19200</v>
      </c>
      <c r="I56" s="205">
        <f>+H56/1000*C56</f>
        <v>495.16799999999995</v>
      </c>
      <c r="J56" s="259"/>
      <c r="K56" s="165" t="s">
        <v>113</v>
      </c>
      <c r="L56" s="208"/>
      <c r="M56" s="208"/>
    </row>
    <row r="57" spans="1:13" x14ac:dyDescent="0.25">
      <c r="I57" s="261"/>
    </row>
    <row r="58" spans="1:13" x14ac:dyDescent="0.25">
      <c r="H58" s="290"/>
      <c r="I58" s="131"/>
    </row>
    <row r="59" spans="1:13" x14ac:dyDescent="0.25">
      <c r="I59" s="290"/>
      <c r="J59" s="131"/>
    </row>
  </sheetData>
  <mergeCells count="50">
    <mergeCell ref="J49:J51"/>
    <mergeCell ref="J53:J55"/>
    <mergeCell ref="J13:J14"/>
    <mergeCell ref="J43:J44"/>
    <mergeCell ref="J45:J46"/>
    <mergeCell ref="J47:J48"/>
    <mergeCell ref="J23:J24"/>
    <mergeCell ref="J25:J26"/>
    <mergeCell ref="J27:J28"/>
    <mergeCell ref="J29:J30"/>
    <mergeCell ref="J31:J32"/>
    <mergeCell ref="J21:J22"/>
    <mergeCell ref="J19:J20"/>
    <mergeCell ref="J33:J34"/>
    <mergeCell ref="J35:J36"/>
    <mergeCell ref="J37:J38"/>
    <mergeCell ref="J39:J40"/>
    <mergeCell ref="J41:J42"/>
    <mergeCell ref="J11:J12"/>
    <mergeCell ref="J17:J18"/>
    <mergeCell ref="J15:J16"/>
    <mergeCell ref="A1:K1"/>
    <mergeCell ref="A2:K2"/>
    <mergeCell ref="A3:K4"/>
    <mergeCell ref="I7:J7"/>
    <mergeCell ref="A6:J6"/>
    <mergeCell ref="A7:C7"/>
    <mergeCell ref="K17:K18"/>
    <mergeCell ref="K6:K8"/>
    <mergeCell ref="J9:J10"/>
    <mergeCell ref="K15:K16"/>
    <mergeCell ref="K33:K34"/>
    <mergeCell ref="K11:K12"/>
    <mergeCell ref="K13:K14"/>
    <mergeCell ref="K9:K10"/>
    <mergeCell ref="K35:K36"/>
    <mergeCell ref="K19:K20"/>
    <mergeCell ref="K49:K50"/>
    <mergeCell ref="K31:K32"/>
    <mergeCell ref="K23:K24"/>
    <mergeCell ref="K25:K26"/>
    <mergeCell ref="K21:K22"/>
    <mergeCell ref="K29:K30"/>
    <mergeCell ref="K27:K28"/>
    <mergeCell ref="K37:K38"/>
    <mergeCell ref="K39:K40"/>
    <mergeCell ref="K41:K42"/>
    <mergeCell ref="K47:K48"/>
    <mergeCell ref="K45:K46"/>
    <mergeCell ref="K43:K44"/>
  </mergeCells>
  <hyperlinks>
    <hyperlink ref="K53" r:id="rId1"/>
    <hyperlink ref="A2" r:id="rId2"/>
    <hyperlink ref="K47" r:id="rId3"/>
    <hyperlink ref="K45" r:id="rId4"/>
    <hyperlink ref="K43" r:id="rId5"/>
    <hyperlink ref="K39" r:id="rId6"/>
    <hyperlink ref="K41" r:id="rId7"/>
    <hyperlink ref="K55" r:id="rId8"/>
    <hyperlink ref="K49" r:id="rId9"/>
    <hyperlink ref="K23" r:id="rId10"/>
    <hyperlink ref="K21" r:id="rId11"/>
    <hyperlink ref="K17" r:id="rId12"/>
    <hyperlink ref="K19" r:id="rId13"/>
    <hyperlink ref="K15" r:id="rId14"/>
    <hyperlink ref="K9" r:id="rId15"/>
  </hyperlinks>
  <pageMargins left="0.21" right="0.21" top="0.26" bottom="0.22" header="0.24" footer="0.27"/>
  <pageSetup scale="75" orientation="portrait" r:id="rId16"/>
  <headerFooter>
    <oddFooter>&amp;LS. Pratt&amp;RJune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pane xSplit="2" ySplit="5" topLeftCell="C6"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17" bestFit="1" customWidth="1"/>
    <col min="3" max="3" width="12.7109375" bestFit="1" customWidth="1"/>
    <col min="4" max="4" width="12.85546875" customWidth="1"/>
    <col min="5" max="5" width="13.7109375" customWidth="1"/>
    <col min="6" max="7" width="11.5703125" bestFit="1" customWidth="1"/>
    <col min="8" max="8" width="11.85546875" customWidth="1"/>
    <col min="9" max="9" width="12.140625" customWidth="1"/>
    <col min="10" max="10" width="11.5703125" customWidth="1"/>
    <col min="11" max="11" width="3.85546875" bestFit="1" customWidth="1"/>
  </cols>
  <sheetData>
    <row r="1" spans="1:11" ht="21" x14ac:dyDescent="0.25">
      <c r="A1" s="421" t="s">
        <v>201</v>
      </c>
      <c r="B1" s="421"/>
      <c r="C1" s="421"/>
      <c r="D1" s="421"/>
      <c r="E1" s="421"/>
      <c r="F1" s="421"/>
      <c r="G1" s="421"/>
      <c r="H1" s="421"/>
      <c r="I1" s="421"/>
      <c r="J1" s="421"/>
    </row>
    <row r="2" spans="1:11" ht="18" customHeight="1" thickBot="1" x14ac:dyDescent="0.3">
      <c r="A2" s="245"/>
      <c r="B2" s="245"/>
      <c r="C2" s="245"/>
      <c r="D2" s="245"/>
      <c r="E2" s="245"/>
      <c r="F2" s="245"/>
      <c r="G2" s="245"/>
      <c r="H2" s="245"/>
      <c r="I2" s="245"/>
      <c r="J2" s="245"/>
    </row>
    <row r="3" spans="1:11" ht="15.75" thickBot="1" x14ac:dyDescent="0.3">
      <c r="A3" s="422" t="s">
        <v>214</v>
      </c>
      <c r="B3" s="423"/>
      <c r="C3" s="423"/>
      <c r="D3" s="423"/>
      <c r="E3" s="423"/>
      <c r="F3" s="423"/>
      <c r="G3" s="423"/>
      <c r="H3" s="423"/>
      <c r="I3" s="423"/>
      <c r="J3" s="424"/>
    </row>
    <row r="4" spans="1:11" x14ac:dyDescent="0.25">
      <c r="A4" s="216"/>
      <c r="B4" s="216"/>
      <c r="C4" s="216"/>
      <c r="D4" s="216"/>
      <c r="E4" s="216"/>
      <c r="F4" s="216"/>
      <c r="G4" s="216"/>
      <c r="H4" s="216"/>
      <c r="I4" s="216"/>
      <c r="J4" s="216"/>
    </row>
    <row r="5" spans="1:11" ht="33" customHeight="1" thickBot="1" x14ac:dyDescent="0.3">
      <c r="A5" s="425" t="s">
        <v>238</v>
      </c>
      <c r="B5" s="425"/>
      <c r="C5" s="249" t="s">
        <v>219</v>
      </c>
      <c r="D5" s="249" t="s">
        <v>186</v>
      </c>
      <c r="E5" s="249" t="s">
        <v>217</v>
      </c>
      <c r="F5" s="249" t="s">
        <v>180</v>
      </c>
      <c r="G5" s="249" t="s">
        <v>181</v>
      </c>
      <c r="H5" s="249" t="s">
        <v>182</v>
      </c>
      <c r="I5" s="249" t="s">
        <v>218</v>
      </c>
      <c r="J5" s="249" t="s">
        <v>183</v>
      </c>
    </row>
    <row r="6" spans="1:11" ht="15.75" thickBot="1" x14ac:dyDescent="0.3">
      <c r="A6" s="2"/>
      <c r="B6" s="229" t="s">
        <v>184</v>
      </c>
      <c r="C6" s="280">
        <v>79082748</v>
      </c>
      <c r="D6" s="281">
        <v>4987300</v>
      </c>
      <c r="E6" s="281">
        <v>3713000</v>
      </c>
      <c r="F6" s="282">
        <v>42900</v>
      </c>
      <c r="G6" s="281">
        <v>2718800</v>
      </c>
      <c r="H6" s="281">
        <v>1904100</v>
      </c>
      <c r="I6" s="281">
        <v>393080</v>
      </c>
      <c r="J6" s="281">
        <v>214510</v>
      </c>
      <c r="K6" s="210"/>
    </row>
    <row r="7" spans="1:11" ht="15.75" thickBot="1" x14ac:dyDescent="0.3">
      <c r="A7" s="2"/>
      <c r="B7" s="219"/>
      <c r="C7" s="283">
        <v>3151140</v>
      </c>
      <c r="D7" s="236"/>
      <c r="E7" s="236"/>
      <c r="F7" s="282">
        <v>104600</v>
      </c>
      <c r="G7" s="284"/>
      <c r="H7" s="284"/>
      <c r="I7" s="284"/>
      <c r="J7" s="284"/>
      <c r="K7" s="210"/>
    </row>
    <row r="8" spans="1:11" ht="16.5" thickTop="1" thickBot="1" x14ac:dyDescent="0.3">
      <c r="A8" s="217" t="s">
        <v>187</v>
      </c>
      <c r="B8" s="218" t="s">
        <v>188</v>
      </c>
      <c r="C8" s="285"/>
      <c r="D8" s="285"/>
      <c r="E8" s="285"/>
      <c r="F8" s="282">
        <v>3260370</v>
      </c>
      <c r="G8" s="236"/>
      <c r="H8" s="236"/>
      <c r="I8" s="236"/>
      <c r="J8" s="236"/>
      <c r="K8" s="210"/>
    </row>
    <row r="9" spans="1:11" ht="15.75" customHeight="1" thickTop="1" x14ac:dyDescent="0.25">
      <c r="A9" s="222">
        <v>0</v>
      </c>
      <c r="B9" s="223" t="s">
        <v>189</v>
      </c>
      <c r="C9" s="226">
        <v>98300</v>
      </c>
      <c r="D9" s="426" t="s">
        <v>196</v>
      </c>
      <c r="E9" s="427"/>
      <c r="F9" s="427"/>
      <c r="G9" s="427"/>
      <c r="H9" s="427"/>
      <c r="I9" s="427"/>
      <c r="J9" s="428"/>
      <c r="K9" s="210"/>
    </row>
    <row r="10" spans="1:11" ht="15" customHeight="1" x14ac:dyDescent="0.25">
      <c r="A10" s="222" t="s">
        <v>200</v>
      </c>
      <c r="B10" s="223" t="s">
        <v>190</v>
      </c>
      <c r="C10" s="227">
        <v>2500</v>
      </c>
      <c r="D10" s="429"/>
      <c r="E10" s="430"/>
      <c r="F10" s="430"/>
      <c r="G10" s="430"/>
      <c r="H10" s="430"/>
      <c r="I10" s="430"/>
      <c r="J10" s="431"/>
      <c r="K10" s="210"/>
    </row>
    <row r="11" spans="1:11" ht="15" customHeight="1" x14ac:dyDescent="0.25">
      <c r="A11" s="222">
        <v>0</v>
      </c>
      <c r="B11" s="223" t="s">
        <v>191</v>
      </c>
      <c r="C11" s="227">
        <v>92100</v>
      </c>
      <c r="D11" s="429"/>
      <c r="E11" s="430"/>
      <c r="F11" s="430"/>
      <c r="G11" s="430"/>
      <c r="H11" s="430"/>
      <c r="I11" s="430"/>
      <c r="J11" s="431"/>
      <c r="K11" s="210"/>
    </row>
    <row r="12" spans="1:11" ht="15" customHeight="1" x14ac:dyDescent="0.25">
      <c r="A12" s="222">
        <v>44</v>
      </c>
      <c r="B12" s="223" t="s">
        <v>192</v>
      </c>
      <c r="C12" s="227">
        <v>104900</v>
      </c>
      <c r="D12" s="429"/>
      <c r="E12" s="430"/>
      <c r="F12" s="430"/>
      <c r="G12" s="430"/>
      <c r="H12" s="430"/>
      <c r="I12" s="430"/>
      <c r="J12" s="431"/>
      <c r="K12" s="210"/>
    </row>
    <row r="13" spans="1:11" ht="15" customHeight="1" x14ac:dyDescent="0.25">
      <c r="A13" s="222">
        <v>0</v>
      </c>
      <c r="B13" s="223" t="s">
        <v>190</v>
      </c>
      <c r="C13" s="227">
        <v>6500</v>
      </c>
      <c r="D13" s="429"/>
      <c r="E13" s="430"/>
      <c r="F13" s="430"/>
      <c r="G13" s="430"/>
      <c r="H13" s="430"/>
      <c r="I13" s="430"/>
      <c r="J13" s="431"/>
      <c r="K13" s="210"/>
    </row>
    <row r="14" spans="1:11" ht="15" customHeight="1" x14ac:dyDescent="0.25">
      <c r="A14" s="222" t="s">
        <v>195</v>
      </c>
      <c r="B14" s="223" t="s">
        <v>193</v>
      </c>
      <c r="C14" s="227">
        <v>2213100</v>
      </c>
      <c r="D14" s="429"/>
      <c r="E14" s="430"/>
      <c r="F14" s="430"/>
      <c r="G14" s="430"/>
      <c r="H14" s="430"/>
      <c r="I14" s="430"/>
      <c r="J14" s="431"/>
      <c r="K14" s="210"/>
    </row>
    <row r="15" spans="1:11" ht="15" customHeight="1" x14ac:dyDescent="0.25">
      <c r="A15" s="222">
        <v>0</v>
      </c>
      <c r="B15" s="223" t="s">
        <v>194</v>
      </c>
      <c r="C15" s="227">
        <v>98200</v>
      </c>
      <c r="D15" s="429"/>
      <c r="E15" s="430"/>
      <c r="F15" s="430"/>
      <c r="G15" s="430"/>
      <c r="H15" s="430"/>
      <c r="I15" s="430"/>
      <c r="J15" s="431"/>
      <c r="K15" s="210"/>
    </row>
    <row r="16" spans="1:11" ht="15" customHeight="1" x14ac:dyDescent="0.25">
      <c r="A16" s="222">
        <v>0</v>
      </c>
      <c r="B16" s="223" t="s">
        <v>194</v>
      </c>
      <c r="C16" s="227">
        <v>98200</v>
      </c>
      <c r="D16" s="429"/>
      <c r="E16" s="430"/>
      <c r="F16" s="430"/>
      <c r="G16" s="430"/>
      <c r="H16" s="430"/>
      <c r="I16" s="430"/>
      <c r="J16" s="431"/>
      <c r="K16" s="210"/>
    </row>
    <row r="17" spans="1:11" ht="15" customHeight="1" x14ac:dyDescent="0.25">
      <c r="A17" s="222">
        <v>24</v>
      </c>
      <c r="B17" s="223" t="s">
        <v>190</v>
      </c>
      <c r="C17" s="227">
        <v>45200</v>
      </c>
      <c r="D17" s="429"/>
      <c r="E17" s="430"/>
      <c r="F17" s="430"/>
      <c r="G17" s="430"/>
      <c r="H17" s="430"/>
      <c r="I17" s="430"/>
      <c r="J17" s="431"/>
      <c r="K17" s="210"/>
    </row>
    <row r="18" spans="1:11" ht="15" customHeight="1" x14ac:dyDescent="0.25">
      <c r="A18" s="222">
        <v>23</v>
      </c>
      <c r="B18" s="223" t="s">
        <v>190</v>
      </c>
      <c r="C18" s="227">
        <v>219300</v>
      </c>
      <c r="D18" s="429"/>
      <c r="E18" s="430"/>
      <c r="F18" s="430"/>
      <c r="G18" s="430"/>
      <c r="H18" s="430"/>
      <c r="I18" s="430"/>
      <c r="J18" s="431"/>
      <c r="K18" s="210"/>
    </row>
    <row r="19" spans="1:11" ht="15" customHeight="1" x14ac:dyDescent="0.25">
      <c r="A19" s="222">
        <v>0</v>
      </c>
      <c r="B19" s="223" t="s">
        <v>189</v>
      </c>
      <c r="C19" s="227">
        <v>128900</v>
      </c>
      <c r="D19" s="429"/>
      <c r="E19" s="430"/>
      <c r="F19" s="430"/>
      <c r="G19" s="430"/>
      <c r="H19" s="430"/>
      <c r="I19" s="430"/>
      <c r="J19" s="431"/>
      <c r="K19" s="210"/>
    </row>
    <row r="20" spans="1:11" ht="15" customHeight="1" x14ac:dyDescent="0.25">
      <c r="A20" s="222">
        <v>128</v>
      </c>
      <c r="B20" s="223" t="s">
        <v>192</v>
      </c>
      <c r="C20" s="227">
        <v>75400</v>
      </c>
      <c r="D20" s="429"/>
      <c r="E20" s="430"/>
      <c r="F20" s="430"/>
      <c r="G20" s="430"/>
      <c r="H20" s="430"/>
      <c r="I20" s="430"/>
      <c r="J20" s="431"/>
      <c r="K20" s="210"/>
    </row>
    <row r="21" spans="1:11" ht="15.75" customHeight="1" thickBot="1" x14ac:dyDescent="0.3">
      <c r="A21" s="224" t="s">
        <v>200</v>
      </c>
      <c r="B21" s="225" t="s">
        <v>193</v>
      </c>
      <c r="C21" s="228">
        <v>179200</v>
      </c>
      <c r="D21" s="432"/>
      <c r="E21" s="433"/>
      <c r="F21" s="433"/>
      <c r="G21" s="433"/>
      <c r="H21" s="433"/>
      <c r="I21" s="433"/>
      <c r="J21" s="434"/>
      <c r="K21" s="210"/>
    </row>
    <row r="22" spans="1:11" x14ac:dyDescent="0.25">
      <c r="A22" s="247" t="s">
        <v>198</v>
      </c>
      <c r="B22" s="248">
        <f>SUM(C22:J22)</f>
        <v>99572548</v>
      </c>
      <c r="C22" s="286">
        <f>SUM(C6:C8)</f>
        <v>82233888</v>
      </c>
      <c r="D22" s="286">
        <f t="shared" ref="D22:J22" si="0">SUM(D6:D8)</f>
        <v>4987300</v>
      </c>
      <c r="E22" s="286">
        <f t="shared" si="0"/>
        <v>3713000</v>
      </c>
      <c r="F22" s="286">
        <f t="shared" si="0"/>
        <v>3407870</v>
      </c>
      <c r="G22" s="286">
        <f t="shared" si="0"/>
        <v>2718800</v>
      </c>
      <c r="H22" s="286">
        <f t="shared" si="0"/>
        <v>1904100</v>
      </c>
      <c r="I22" s="286">
        <f t="shared" si="0"/>
        <v>393080</v>
      </c>
      <c r="J22" s="286">
        <f t="shared" si="0"/>
        <v>214510</v>
      </c>
      <c r="K22" s="210"/>
    </row>
    <row r="23" spans="1:11" x14ac:dyDescent="0.25">
      <c r="A23" s="211" t="s">
        <v>197</v>
      </c>
      <c r="B23" s="212">
        <f>SUM(C23:J23)</f>
        <v>3361800</v>
      </c>
      <c r="C23" s="214">
        <f>SUM(C9:C21)</f>
        <v>3361800</v>
      </c>
      <c r="D23" s="215"/>
      <c r="E23" s="215"/>
      <c r="F23" s="215"/>
      <c r="G23" s="215"/>
      <c r="H23" s="215"/>
      <c r="I23" s="215"/>
      <c r="J23" s="215"/>
      <c r="K23" s="210"/>
    </row>
    <row r="24" spans="1:11" x14ac:dyDescent="0.25">
      <c r="A24" s="213"/>
      <c r="B24" s="209"/>
      <c r="C24" s="214"/>
      <c r="D24" s="214"/>
      <c r="E24" s="214"/>
      <c r="F24" s="214"/>
      <c r="G24" s="214"/>
      <c r="H24" s="214"/>
      <c r="I24" s="214"/>
      <c r="J24" s="214"/>
      <c r="K24" s="210"/>
    </row>
    <row r="25" spans="1:11" x14ac:dyDescent="0.25">
      <c r="A25" s="211" t="s">
        <v>199</v>
      </c>
      <c r="B25" s="212">
        <f>+B23+B22</f>
        <v>102934348</v>
      </c>
      <c r="C25" s="212">
        <f>+C23+C22</f>
        <v>85595688</v>
      </c>
      <c r="D25" s="212">
        <f t="shared" ref="D25:J25" si="1">+D23+D22</f>
        <v>4987300</v>
      </c>
      <c r="E25" s="212">
        <f t="shared" si="1"/>
        <v>3713000</v>
      </c>
      <c r="F25" s="212">
        <f t="shared" si="1"/>
        <v>3407870</v>
      </c>
      <c r="G25" s="212">
        <f t="shared" si="1"/>
        <v>2718800</v>
      </c>
      <c r="H25" s="212">
        <f t="shared" si="1"/>
        <v>1904100</v>
      </c>
      <c r="I25" s="212">
        <f t="shared" si="1"/>
        <v>393080</v>
      </c>
      <c r="J25" s="212">
        <f t="shared" si="1"/>
        <v>214510</v>
      </c>
      <c r="K25" s="210"/>
    </row>
    <row r="26" spans="1:11" x14ac:dyDescent="0.25">
      <c r="A26" s="213" t="s">
        <v>215</v>
      </c>
      <c r="B26" s="220">
        <f>+TaxRates_1982_2019!G6</f>
        <v>27.16</v>
      </c>
      <c r="C26" s="220">
        <f>+B26</f>
        <v>27.16</v>
      </c>
      <c r="D26" s="220">
        <f t="shared" ref="D26:J26" si="2">+C26</f>
        <v>27.16</v>
      </c>
      <c r="E26" s="220">
        <f t="shared" si="2"/>
        <v>27.16</v>
      </c>
      <c r="F26" s="220">
        <f t="shared" si="2"/>
        <v>27.16</v>
      </c>
      <c r="G26" s="220">
        <f t="shared" si="2"/>
        <v>27.16</v>
      </c>
      <c r="H26" s="220">
        <f t="shared" si="2"/>
        <v>27.16</v>
      </c>
      <c r="I26" s="220">
        <f t="shared" si="2"/>
        <v>27.16</v>
      </c>
      <c r="J26" s="220">
        <f t="shared" si="2"/>
        <v>27.16</v>
      </c>
      <c r="K26" s="210"/>
    </row>
    <row r="27" spans="1:11" x14ac:dyDescent="0.25">
      <c r="A27" s="213" t="s">
        <v>216</v>
      </c>
      <c r="B27" s="209">
        <f>+B25/1000*B26</f>
        <v>2795696.8916799999</v>
      </c>
      <c r="C27" s="209">
        <f>+C25/1000*C26</f>
        <v>2324778.8860800001</v>
      </c>
      <c r="D27" s="209">
        <f t="shared" ref="D27:J27" si="3">+D25/1000*D26</f>
        <v>135455.068</v>
      </c>
      <c r="E27" s="209">
        <f t="shared" si="3"/>
        <v>100845.08</v>
      </c>
      <c r="F27" s="209">
        <f t="shared" si="3"/>
        <v>92557.749199999991</v>
      </c>
      <c r="G27" s="209">
        <f t="shared" si="3"/>
        <v>73842.608000000007</v>
      </c>
      <c r="H27" s="209">
        <f t="shared" si="3"/>
        <v>51715.356</v>
      </c>
      <c r="I27" s="209">
        <f t="shared" si="3"/>
        <v>10676.052799999999</v>
      </c>
      <c r="J27" s="209">
        <f t="shared" si="3"/>
        <v>5826.0915999999997</v>
      </c>
      <c r="K27" s="210"/>
    </row>
    <row r="28" spans="1:11" x14ac:dyDescent="0.25">
      <c r="A28" s="213" t="s">
        <v>263</v>
      </c>
      <c r="B28" s="221">
        <v>24988866</v>
      </c>
      <c r="C28" s="221">
        <v>24988866</v>
      </c>
      <c r="D28" s="221">
        <v>24988866</v>
      </c>
      <c r="E28" s="221">
        <v>24988866</v>
      </c>
      <c r="F28" s="221">
        <v>24988866</v>
      </c>
      <c r="G28" s="221">
        <v>24988866</v>
      </c>
      <c r="H28" s="221">
        <v>24988866</v>
      </c>
      <c r="I28" s="221">
        <v>24988866</v>
      </c>
      <c r="J28" s="221">
        <v>24988866</v>
      </c>
      <c r="K28" s="210"/>
    </row>
    <row r="29" spans="1:11" x14ac:dyDescent="0.25">
      <c r="A29" s="213" t="s">
        <v>262</v>
      </c>
      <c r="B29" s="300">
        <f>+B27/B28</f>
        <v>0.11187770152034909</v>
      </c>
      <c r="C29" s="300">
        <f>+C27/C28</f>
        <v>9.3032588436786204E-2</v>
      </c>
      <c r="D29" s="300">
        <f t="shared" ref="D29:J29" si="4">+D27/D28</f>
        <v>5.4206168459184981E-3</v>
      </c>
      <c r="E29" s="300">
        <f t="shared" si="4"/>
        <v>4.0356004950364696E-3</v>
      </c>
      <c r="F29" s="300">
        <f t="shared" si="4"/>
        <v>3.7039595634311695E-3</v>
      </c>
      <c r="G29" s="300">
        <f t="shared" si="4"/>
        <v>2.9550203678710353E-3</v>
      </c>
      <c r="H29" s="300">
        <f t="shared" si="4"/>
        <v>2.0695359285211263E-3</v>
      </c>
      <c r="I29" s="300">
        <f t="shared" si="4"/>
        <v>4.2723238421463379E-4</v>
      </c>
      <c r="J29" s="300">
        <f t="shared" si="4"/>
        <v>2.331474985699631E-4</v>
      </c>
      <c r="K29" s="210"/>
    </row>
    <row r="30" spans="1:11" x14ac:dyDescent="0.25">
      <c r="B30" s="210"/>
      <c r="C30" s="210"/>
      <c r="D30" s="210"/>
      <c r="E30" s="210"/>
      <c r="F30" s="210"/>
      <c r="G30" s="210"/>
      <c r="H30" s="210"/>
      <c r="I30" s="210"/>
      <c r="J30" s="210"/>
      <c r="K30" s="210"/>
    </row>
    <row r="31" spans="1:11" x14ac:dyDescent="0.25">
      <c r="A31" s="247" t="s">
        <v>185</v>
      </c>
      <c r="B31" s="255">
        <v>112177680</v>
      </c>
      <c r="C31" s="255">
        <v>112177680</v>
      </c>
      <c r="D31" s="255">
        <v>112177680</v>
      </c>
      <c r="E31" s="255">
        <v>112177680</v>
      </c>
      <c r="F31" s="255">
        <v>112177680</v>
      </c>
      <c r="G31" s="255">
        <v>112177680</v>
      </c>
      <c r="H31" s="255">
        <v>112177680</v>
      </c>
      <c r="I31" s="255">
        <v>112177680</v>
      </c>
      <c r="J31" s="255">
        <v>112177680</v>
      </c>
    </row>
    <row r="32" spans="1:11" x14ac:dyDescent="0.25">
      <c r="A32" s="241" t="s">
        <v>261</v>
      </c>
      <c r="B32" s="301">
        <f>+B22/B31</f>
        <v>0.88763244167645472</v>
      </c>
      <c r="C32" s="301">
        <f t="shared" ref="C32:J32" si="5">+C22/C31</f>
        <v>0.73306818254754424</v>
      </c>
      <c r="D32" s="301">
        <f t="shared" si="5"/>
        <v>4.4458933363571075E-2</v>
      </c>
      <c r="E32" s="301">
        <f t="shared" si="5"/>
        <v>3.3099276077023523E-2</v>
      </c>
      <c r="F32" s="301">
        <f t="shared" si="5"/>
        <v>3.0379216257636992E-2</v>
      </c>
      <c r="G32" s="301">
        <f t="shared" si="5"/>
        <v>2.4236550443902924E-2</v>
      </c>
      <c r="H32" s="301">
        <f t="shared" si="5"/>
        <v>1.6973964874295849E-2</v>
      </c>
      <c r="I32" s="301">
        <f t="shared" si="5"/>
        <v>3.5040838783615422E-3</v>
      </c>
      <c r="J32" s="301">
        <f t="shared" si="5"/>
        <v>1.9122342341185876E-3</v>
      </c>
    </row>
    <row r="34" spans="1:10" x14ac:dyDescent="0.25">
      <c r="B34" s="364" t="s">
        <v>266</v>
      </c>
      <c r="D34" s="366" t="s">
        <v>211</v>
      </c>
      <c r="E34" s="365" t="s">
        <v>210</v>
      </c>
      <c r="F34" s="365" t="s">
        <v>317</v>
      </c>
      <c r="G34" s="416" t="s">
        <v>220</v>
      </c>
      <c r="H34" s="417"/>
      <c r="I34" s="417"/>
      <c r="J34" s="418"/>
    </row>
    <row r="35" spans="1:10" x14ac:dyDescent="0.25">
      <c r="A35" s="359" t="s">
        <v>315</v>
      </c>
      <c r="B35" s="236">
        <v>100612391</v>
      </c>
      <c r="D35" s="235">
        <f>+C6</f>
        <v>79082748</v>
      </c>
      <c r="E35" s="371">
        <f>+D35-B35</f>
        <v>-21529643</v>
      </c>
      <c r="F35" s="360">
        <f>+D35/B35-1</f>
        <v>-0.21398599900085868</v>
      </c>
      <c r="G35" s="361">
        <f>-E35/1000*B26</f>
        <v>584745.10387999995</v>
      </c>
      <c r="H35" s="414" t="s">
        <v>237</v>
      </c>
      <c r="I35" s="414"/>
      <c r="J35" s="415"/>
    </row>
    <row r="36" spans="1:10" x14ac:dyDescent="0.25">
      <c r="A36" s="359" t="s">
        <v>316</v>
      </c>
      <c r="B36" s="236">
        <v>4740615.72</v>
      </c>
      <c r="D36" s="235">
        <f>+C7</f>
        <v>3151140</v>
      </c>
      <c r="E36" s="371">
        <f>+D36-B36</f>
        <v>-1589475.7199999997</v>
      </c>
      <c r="F36" s="360">
        <f>+D36/B36-1</f>
        <v>-0.33528887677906949</v>
      </c>
      <c r="G36" s="361">
        <f>-E36/1000*B26</f>
        <v>43170.160555199989</v>
      </c>
      <c r="H36" s="414" t="s">
        <v>237</v>
      </c>
      <c r="I36" s="414"/>
      <c r="J36" s="415"/>
    </row>
    <row r="37" spans="1:10" x14ac:dyDescent="0.25">
      <c r="A37" s="367" t="s">
        <v>323</v>
      </c>
      <c r="B37" s="368">
        <f>SUM(B35:B36)</f>
        <v>105353006.72</v>
      </c>
      <c r="C37" s="328"/>
      <c r="D37" s="369">
        <f>SUM(D35:D36)</f>
        <v>82233888</v>
      </c>
      <c r="E37" s="372">
        <f>SUM(E35:E36)</f>
        <v>-23119118.719999999</v>
      </c>
      <c r="F37" s="358"/>
      <c r="G37" s="242">
        <f>+G36+G35</f>
        <v>627915.2644351999</v>
      </c>
      <c r="H37" s="419" t="s">
        <v>237</v>
      </c>
      <c r="I37" s="419"/>
      <c r="J37" s="420"/>
    </row>
    <row r="38" spans="1:10" x14ac:dyDescent="0.25">
      <c r="C38" s="40"/>
    </row>
    <row r="39" spans="1:10" x14ac:dyDescent="0.25">
      <c r="A39" t="s">
        <v>318</v>
      </c>
    </row>
  </sheetData>
  <mergeCells count="8">
    <mergeCell ref="H36:J36"/>
    <mergeCell ref="G34:J34"/>
    <mergeCell ref="H37:J37"/>
    <mergeCell ref="H35:J35"/>
    <mergeCell ref="A1:J1"/>
    <mergeCell ref="A3:J3"/>
    <mergeCell ref="A5:B5"/>
    <mergeCell ref="D9:J21"/>
  </mergeCells>
  <pageMargins left="0.2" right="0.2" top="0.25" bottom="0.25" header="0.3" footer="0.3"/>
  <pageSetup scale="95" orientation="landscape" r:id="rId1"/>
  <headerFooter>
    <oddFooter>&amp;LS. Pratt&amp;RJune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election activeCell="T1" sqref="T1:AA1048576"/>
    </sheetView>
  </sheetViews>
  <sheetFormatPr defaultRowHeight="15" x14ac:dyDescent="0.25"/>
  <cols>
    <col min="1" max="1" width="27.140625" customWidth="1"/>
    <col min="2" max="2" width="17.28515625" bestFit="1" customWidth="1"/>
    <col min="3" max="3" width="13.140625" bestFit="1" customWidth="1"/>
    <col min="4" max="4" width="12.7109375" customWidth="1"/>
    <col min="5" max="5" width="13.42578125" bestFit="1" customWidth="1"/>
    <col min="6" max="7" width="12" bestFit="1" customWidth="1"/>
    <col min="8" max="8" width="13.140625" customWidth="1"/>
    <col min="9" max="9" width="11.85546875" customWidth="1"/>
    <col min="10" max="10" width="28.140625" bestFit="1" customWidth="1"/>
    <col min="11" max="11" width="12.5703125" customWidth="1"/>
    <col min="12" max="12" width="12" bestFit="1" customWidth="1"/>
    <col min="13" max="13" width="11.85546875" customWidth="1"/>
    <col min="14" max="16" width="12" bestFit="1" customWidth="1"/>
    <col min="17" max="17" width="12" customWidth="1"/>
    <col min="18" max="18" width="12" bestFit="1" customWidth="1"/>
    <col min="19" max="19" width="3.85546875" bestFit="1" customWidth="1"/>
  </cols>
  <sheetData>
    <row r="1" spans="1:19" ht="21" x14ac:dyDescent="0.25">
      <c r="A1" s="421" t="s">
        <v>201</v>
      </c>
      <c r="B1" s="421"/>
      <c r="C1" s="421"/>
      <c r="D1" s="421"/>
      <c r="E1" s="421"/>
      <c r="F1" s="421"/>
      <c r="G1" s="421"/>
      <c r="H1" s="421"/>
      <c r="I1" s="421"/>
      <c r="J1" s="421" t="s">
        <v>201</v>
      </c>
      <c r="K1" s="421"/>
      <c r="L1" s="421"/>
      <c r="M1" s="421"/>
      <c r="N1" s="421"/>
      <c r="O1" s="421"/>
      <c r="P1" s="421"/>
      <c r="Q1" s="421"/>
      <c r="R1" s="421"/>
    </row>
    <row r="2" spans="1:19" ht="9" customHeight="1" thickBot="1" x14ac:dyDescent="0.3">
      <c r="A2" s="303"/>
      <c r="B2" s="303"/>
      <c r="C2" s="303"/>
      <c r="D2" s="303"/>
      <c r="E2" s="303"/>
      <c r="F2" s="303"/>
      <c r="G2" s="303"/>
      <c r="H2" s="303"/>
      <c r="I2" s="303"/>
      <c r="J2" s="304"/>
      <c r="K2" s="303"/>
      <c r="L2" s="303"/>
      <c r="M2" s="303"/>
      <c r="N2" s="303"/>
      <c r="O2" s="303"/>
      <c r="P2" s="303"/>
      <c r="Q2" s="321"/>
      <c r="R2" s="303"/>
    </row>
    <row r="3" spans="1:19" ht="15.75" thickBot="1" x14ac:dyDescent="0.3">
      <c r="A3" s="422" t="s">
        <v>277</v>
      </c>
      <c r="B3" s="423"/>
      <c r="C3" s="423"/>
      <c r="D3" s="423"/>
      <c r="E3" s="423"/>
      <c r="F3" s="423"/>
      <c r="G3" s="423"/>
      <c r="H3" s="423"/>
      <c r="I3" s="424"/>
      <c r="J3" s="422" t="s">
        <v>277</v>
      </c>
      <c r="K3" s="423"/>
      <c r="L3" s="423"/>
      <c r="M3" s="423"/>
      <c r="N3" s="423"/>
      <c r="O3" s="423"/>
      <c r="P3" s="423"/>
      <c r="Q3" s="423"/>
      <c r="R3" s="424"/>
    </row>
    <row r="4" spans="1:19" ht="7.5" customHeight="1" x14ac:dyDescent="0.25">
      <c r="A4" s="216"/>
      <c r="B4" s="216"/>
      <c r="C4" s="216"/>
      <c r="D4" s="216"/>
      <c r="E4" s="216"/>
      <c r="F4" s="216"/>
      <c r="G4" s="216"/>
      <c r="H4" s="216"/>
      <c r="I4" s="216"/>
      <c r="J4" s="216"/>
      <c r="K4" s="216"/>
      <c r="L4" s="216"/>
      <c r="M4" s="216"/>
      <c r="N4" s="216"/>
      <c r="O4" s="216"/>
      <c r="P4" s="216"/>
      <c r="Q4" s="216"/>
      <c r="R4" s="216"/>
    </row>
    <row r="5" spans="1:19" ht="46.5" customHeight="1" thickBot="1" x14ac:dyDescent="0.3">
      <c r="A5" s="448" t="s">
        <v>302</v>
      </c>
      <c r="B5" s="448"/>
      <c r="C5" s="249" t="s">
        <v>219</v>
      </c>
      <c r="D5" s="249" t="s">
        <v>186</v>
      </c>
      <c r="E5" s="249" t="s">
        <v>217</v>
      </c>
      <c r="F5" s="249" t="s">
        <v>180</v>
      </c>
      <c r="G5" s="249" t="s">
        <v>181</v>
      </c>
      <c r="H5" s="312" t="s">
        <v>274</v>
      </c>
      <c r="I5" s="249" t="s">
        <v>182</v>
      </c>
      <c r="J5" s="355" t="s">
        <v>314</v>
      </c>
      <c r="K5" s="311" t="s">
        <v>275</v>
      </c>
      <c r="L5" s="249" t="s">
        <v>270</v>
      </c>
      <c r="M5" s="311" t="s">
        <v>272</v>
      </c>
      <c r="N5" s="311" t="s">
        <v>271</v>
      </c>
      <c r="O5" s="312" t="s">
        <v>273</v>
      </c>
      <c r="P5" s="249" t="s">
        <v>218</v>
      </c>
      <c r="Q5" s="249" t="s">
        <v>285</v>
      </c>
      <c r="R5" s="249" t="s">
        <v>183</v>
      </c>
    </row>
    <row r="6" spans="1:19" ht="15.75" thickBot="1" x14ac:dyDescent="0.3">
      <c r="A6" s="2"/>
      <c r="B6" s="229" t="s">
        <v>184</v>
      </c>
      <c r="C6" s="280">
        <v>75583040</v>
      </c>
      <c r="D6" s="281">
        <v>4963100</v>
      </c>
      <c r="E6" s="281">
        <v>3800000</v>
      </c>
      <c r="F6" s="282">
        <v>3174250</v>
      </c>
      <c r="G6" s="281">
        <v>2834500</v>
      </c>
      <c r="H6" s="281">
        <v>2048280</v>
      </c>
      <c r="I6" s="281">
        <v>1945000</v>
      </c>
      <c r="J6" s="281"/>
      <c r="K6" s="281">
        <v>1408870</v>
      </c>
      <c r="L6" s="281">
        <v>1390000</v>
      </c>
      <c r="M6" s="281">
        <v>590000</v>
      </c>
      <c r="N6" s="281">
        <v>434630</v>
      </c>
      <c r="O6" s="281">
        <v>259600</v>
      </c>
      <c r="P6" s="281">
        <v>263860</v>
      </c>
      <c r="Q6" s="281">
        <v>241630</v>
      </c>
      <c r="R6" s="281">
        <v>240930</v>
      </c>
      <c r="S6" s="210"/>
    </row>
    <row r="7" spans="1:19" ht="15.75" thickBot="1" x14ac:dyDescent="0.3">
      <c r="A7" s="2"/>
      <c r="B7" s="219"/>
      <c r="C7" s="283">
        <v>3156780</v>
      </c>
      <c r="D7" s="305"/>
      <c r="E7" s="236"/>
      <c r="F7" s="282">
        <v>46250</v>
      </c>
      <c r="G7" s="306"/>
      <c r="H7" s="306"/>
      <c r="I7" s="306"/>
      <c r="J7" s="306"/>
      <c r="K7" s="306"/>
      <c r="L7" s="306"/>
      <c r="M7" s="306"/>
      <c r="N7" s="306"/>
      <c r="O7" s="306"/>
      <c r="P7" s="306"/>
      <c r="Q7" s="306"/>
      <c r="R7" s="306"/>
      <c r="S7" s="210"/>
    </row>
    <row r="8" spans="1:19" ht="16.5" thickTop="1" thickBot="1" x14ac:dyDescent="0.3">
      <c r="A8" s="217" t="s">
        <v>187</v>
      </c>
      <c r="B8" s="218" t="s">
        <v>188</v>
      </c>
      <c r="C8" s="291"/>
      <c r="D8" s="291"/>
      <c r="E8" s="285"/>
      <c r="F8" s="282">
        <v>34340</v>
      </c>
      <c r="G8" s="305"/>
      <c r="H8" s="305"/>
      <c r="I8" s="305"/>
      <c r="J8" s="305"/>
      <c r="K8" s="305"/>
      <c r="L8" s="305"/>
      <c r="M8" s="305"/>
      <c r="N8" s="305"/>
      <c r="O8" s="305"/>
      <c r="P8" s="305"/>
      <c r="Q8" s="305"/>
      <c r="R8" s="305"/>
      <c r="S8" s="210"/>
    </row>
    <row r="9" spans="1:19" ht="15.75" customHeight="1" thickTop="1" x14ac:dyDescent="0.25">
      <c r="A9" s="222">
        <v>0</v>
      </c>
      <c r="B9" s="223" t="s">
        <v>189</v>
      </c>
      <c r="C9" s="313">
        <v>98300</v>
      </c>
      <c r="D9" s="449" t="s">
        <v>284</v>
      </c>
      <c r="E9" s="442"/>
      <c r="F9" s="442"/>
      <c r="G9" s="442"/>
      <c r="H9" s="442"/>
      <c r="I9" s="442"/>
      <c r="J9" s="442" t="s">
        <v>284</v>
      </c>
      <c r="K9" s="442"/>
      <c r="L9" s="442"/>
      <c r="M9" s="442"/>
      <c r="N9" s="442"/>
      <c r="O9" s="442"/>
      <c r="P9" s="442"/>
      <c r="Q9" s="442"/>
      <c r="R9" s="443"/>
      <c r="S9" s="210"/>
    </row>
    <row r="10" spans="1:19" ht="15" customHeight="1" x14ac:dyDescent="0.25">
      <c r="A10" s="222" t="s">
        <v>200</v>
      </c>
      <c r="B10" s="223" t="s">
        <v>190</v>
      </c>
      <c r="C10" s="278">
        <v>2500</v>
      </c>
      <c r="D10" s="450"/>
      <c r="E10" s="444"/>
      <c r="F10" s="444"/>
      <c r="G10" s="444"/>
      <c r="H10" s="444"/>
      <c r="I10" s="444"/>
      <c r="J10" s="444"/>
      <c r="K10" s="444"/>
      <c r="L10" s="444"/>
      <c r="M10" s="444"/>
      <c r="N10" s="444"/>
      <c r="O10" s="444"/>
      <c r="P10" s="444"/>
      <c r="Q10" s="444"/>
      <c r="R10" s="445"/>
      <c r="S10" s="210"/>
    </row>
    <row r="11" spans="1:19" ht="15" customHeight="1" x14ac:dyDescent="0.25">
      <c r="A11" s="222">
        <v>0</v>
      </c>
      <c r="B11" s="223" t="s">
        <v>191</v>
      </c>
      <c r="C11" s="278">
        <v>92100</v>
      </c>
      <c r="D11" s="450"/>
      <c r="E11" s="444"/>
      <c r="F11" s="444"/>
      <c r="G11" s="444"/>
      <c r="H11" s="444"/>
      <c r="I11" s="444"/>
      <c r="J11" s="444"/>
      <c r="K11" s="444"/>
      <c r="L11" s="444"/>
      <c r="M11" s="444"/>
      <c r="N11" s="444"/>
      <c r="O11" s="444"/>
      <c r="P11" s="444"/>
      <c r="Q11" s="444"/>
      <c r="R11" s="445"/>
      <c r="S11" s="210"/>
    </row>
    <row r="12" spans="1:19" ht="15" customHeight="1" x14ac:dyDescent="0.25">
      <c r="A12" s="222">
        <v>44</v>
      </c>
      <c r="B12" s="223" t="s">
        <v>192</v>
      </c>
      <c r="C12" s="278">
        <v>104900</v>
      </c>
      <c r="D12" s="450"/>
      <c r="E12" s="444"/>
      <c r="F12" s="444"/>
      <c r="G12" s="444"/>
      <c r="H12" s="444"/>
      <c r="I12" s="444"/>
      <c r="J12" s="444"/>
      <c r="K12" s="444"/>
      <c r="L12" s="444"/>
      <c r="M12" s="444"/>
      <c r="N12" s="444"/>
      <c r="O12" s="444"/>
      <c r="P12" s="444"/>
      <c r="Q12" s="444"/>
      <c r="R12" s="445"/>
      <c r="S12" s="210"/>
    </row>
    <row r="13" spans="1:19" ht="15" customHeight="1" x14ac:dyDescent="0.25">
      <c r="A13" s="222">
        <v>0</v>
      </c>
      <c r="B13" s="223" t="s">
        <v>190</v>
      </c>
      <c r="C13" s="278">
        <v>6500</v>
      </c>
      <c r="D13" s="450"/>
      <c r="E13" s="444"/>
      <c r="F13" s="444"/>
      <c r="G13" s="444"/>
      <c r="H13" s="444"/>
      <c r="I13" s="444"/>
      <c r="J13" s="444"/>
      <c r="K13" s="444"/>
      <c r="L13" s="444"/>
      <c r="M13" s="444"/>
      <c r="N13" s="444"/>
      <c r="O13" s="444"/>
      <c r="P13" s="444"/>
      <c r="Q13" s="444"/>
      <c r="R13" s="445"/>
      <c r="S13" s="210"/>
    </row>
    <row r="14" spans="1:19" ht="15" customHeight="1" x14ac:dyDescent="0.25">
      <c r="A14" s="222" t="s">
        <v>195</v>
      </c>
      <c r="B14" s="223" t="s">
        <v>193</v>
      </c>
      <c r="C14" s="278">
        <v>2229700</v>
      </c>
      <c r="D14" s="450"/>
      <c r="E14" s="444"/>
      <c r="F14" s="444"/>
      <c r="G14" s="444"/>
      <c r="H14" s="444"/>
      <c r="I14" s="444"/>
      <c r="J14" s="444"/>
      <c r="K14" s="444"/>
      <c r="L14" s="444"/>
      <c r="M14" s="444"/>
      <c r="N14" s="444"/>
      <c r="O14" s="444"/>
      <c r="P14" s="444"/>
      <c r="Q14" s="444"/>
      <c r="R14" s="445"/>
      <c r="S14" s="210"/>
    </row>
    <row r="15" spans="1:19" ht="15" customHeight="1" x14ac:dyDescent="0.25">
      <c r="A15" s="222">
        <v>0</v>
      </c>
      <c r="B15" s="223" t="s">
        <v>194</v>
      </c>
      <c r="C15" s="278">
        <v>98200</v>
      </c>
      <c r="D15" s="450"/>
      <c r="E15" s="444"/>
      <c r="F15" s="444"/>
      <c r="G15" s="444"/>
      <c r="H15" s="444"/>
      <c r="I15" s="444"/>
      <c r="J15" s="444"/>
      <c r="K15" s="444"/>
      <c r="L15" s="444"/>
      <c r="M15" s="444"/>
      <c r="N15" s="444"/>
      <c r="O15" s="444"/>
      <c r="P15" s="444"/>
      <c r="Q15" s="444"/>
      <c r="R15" s="445"/>
      <c r="S15" s="210"/>
    </row>
    <row r="16" spans="1:19" ht="15" customHeight="1" x14ac:dyDescent="0.25">
      <c r="A16" s="222">
        <v>0</v>
      </c>
      <c r="B16" s="223" t="s">
        <v>194</v>
      </c>
      <c r="C16" s="278">
        <v>98200</v>
      </c>
      <c r="D16" s="450"/>
      <c r="E16" s="444"/>
      <c r="F16" s="444"/>
      <c r="G16" s="444"/>
      <c r="H16" s="444"/>
      <c r="I16" s="444"/>
      <c r="J16" s="444"/>
      <c r="K16" s="444"/>
      <c r="L16" s="444"/>
      <c r="M16" s="444"/>
      <c r="N16" s="444"/>
      <c r="O16" s="444"/>
      <c r="P16" s="444"/>
      <c r="Q16" s="444"/>
      <c r="R16" s="445"/>
      <c r="S16" s="210"/>
    </row>
    <row r="17" spans="1:19" ht="15" customHeight="1" x14ac:dyDescent="0.25">
      <c r="A17" s="222">
        <v>24</v>
      </c>
      <c r="B17" s="223" t="s">
        <v>190</v>
      </c>
      <c r="C17" s="278">
        <v>45200</v>
      </c>
      <c r="D17" s="450"/>
      <c r="E17" s="444"/>
      <c r="F17" s="444"/>
      <c r="G17" s="444"/>
      <c r="H17" s="444"/>
      <c r="I17" s="444"/>
      <c r="J17" s="444"/>
      <c r="K17" s="444"/>
      <c r="L17" s="444"/>
      <c r="M17" s="444"/>
      <c r="N17" s="444"/>
      <c r="O17" s="444"/>
      <c r="P17" s="444"/>
      <c r="Q17" s="444"/>
      <c r="R17" s="445"/>
      <c r="S17" s="210"/>
    </row>
    <row r="18" spans="1:19" ht="15" customHeight="1" x14ac:dyDescent="0.25">
      <c r="A18" s="222">
        <v>23</v>
      </c>
      <c r="B18" s="223" t="s">
        <v>190</v>
      </c>
      <c r="C18" s="278">
        <v>220000</v>
      </c>
      <c r="D18" s="450"/>
      <c r="E18" s="444"/>
      <c r="F18" s="444"/>
      <c r="G18" s="444"/>
      <c r="H18" s="444"/>
      <c r="I18" s="444"/>
      <c r="J18" s="444"/>
      <c r="K18" s="444"/>
      <c r="L18" s="444"/>
      <c r="M18" s="444"/>
      <c r="N18" s="444"/>
      <c r="O18" s="444"/>
      <c r="P18" s="444"/>
      <c r="Q18" s="444"/>
      <c r="R18" s="445"/>
      <c r="S18" s="210"/>
    </row>
    <row r="19" spans="1:19" ht="15" customHeight="1" x14ac:dyDescent="0.25">
      <c r="A19" s="222">
        <v>0</v>
      </c>
      <c r="B19" s="223" t="s">
        <v>189</v>
      </c>
      <c r="C19" s="278">
        <v>128900</v>
      </c>
      <c r="D19" s="450"/>
      <c r="E19" s="444"/>
      <c r="F19" s="444"/>
      <c r="G19" s="444"/>
      <c r="H19" s="444"/>
      <c r="I19" s="444"/>
      <c r="J19" s="444"/>
      <c r="K19" s="444"/>
      <c r="L19" s="444"/>
      <c r="M19" s="444"/>
      <c r="N19" s="444"/>
      <c r="O19" s="444"/>
      <c r="P19" s="444"/>
      <c r="Q19" s="444"/>
      <c r="R19" s="445"/>
      <c r="S19" s="210"/>
    </row>
    <row r="20" spans="1:19" ht="15" customHeight="1" x14ac:dyDescent="0.25">
      <c r="A20" s="222">
        <v>128</v>
      </c>
      <c r="B20" s="223" t="s">
        <v>192</v>
      </c>
      <c r="C20" s="278">
        <v>75400</v>
      </c>
      <c r="D20" s="450"/>
      <c r="E20" s="444"/>
      <c r="F20" s="444"/>
      <c r="G20" s="444"/>
      <c r="H20" s="444"/>
      <c r="I20" s="444"/>
      <c r="J20" s="444"/>
      <c r="K20" s="444"/>
      <c r="L20" s="444"/>
      <c r="M20" s="444"/>
      <c r="N20" s="444"/>
      <c r="O20" s="444"/>
      <c r="P20" s="444"/>
      <c r="Q20" s="444"/>
      <c r="R20" s="445"/>
      <c r="S20" s="210"/>
    </row>
    <row r="21" spans="1:19" ht="15.75" customHeight="1" thickBot="1" x14ac:dyDescent="0.3">
      <c r="A21" s="224" t="s">
        <v>200</v>
      </c>
      <c r="B21" s="225" t="s">
        <v>193</v>
      </c>
      <c r="C21" s="314">
        <v>179200</v>
      </c>
      <c r="D21" s="451"/>
      <c r="E21" s="446"/>
      <c r="F21" s="446"/>
      <c r="G21" s="446"/>
      <c r="H21" s="446"/>
      <c r="I21" s="446"/>
      <c r="J21" s="446"/>
      <c r="K21" s="446"/>
      <c r="L21" s="446"/>
      <c r="M21" s="446"/>
      <c r="N21" s="446"/>
      <c r="O21" s="446"/>
      <c r="P21" s="446"/>
      <c r="Q21" s="446"/>
      <c r="R21" s="447"/>
      <c r="S21" s="210"/>
    </row>
    <row r="22" spans="1:19" x14ac:dyDescent="0.25">
      <c r="A22" s="247" t="s">
        <v>198</v>
      </c>
      <c r="B22" s="248">
        <f>SUM(C22:I22)+SUM(K22:R22)</f>
        <v>102415060</v>
      </c>
      <c r="C22" s="286">
        <f>SUM(C6:C8)</f>
        <v>78739820</v>
      </c>
      <c r="D22" s="286">
        <f t="shared" ref="D22:R22" si="0">SUM(D6:D8)</f>
        <v>4963100</v>
      </c>
      <c r="E22" s="286">
        <f t="shared" si="0"/>
        <v>3800000</v>
      </c>
      <c r="F22" s="286">
        <f t="shared" si="0"/>
        <v>3254840</v>
      </c>
      <c r="G22" s="286">
        <f t="shared" si="0"/>
        <v>2834500</v>
      </c>
      <c r="H22" s="286">
        <f t="shared" ref="H22" si="1">SUM(H6:H8)</f>
        <v>2048280</v>
      </c>
      <c r="I22" s="286">
        <f t="shared" si="0"/>
        <v>1945000</v>
      </c>
      <c r="J22" s="247" t="s">
        <v>198</v>
      </c>
      <c r="K22" s="286">
        <f t="shared" ref="K22:O22" si="2">SUM(K6:K8)</f>
        <v>1408870</v>
      </c>
      <c r="L22" s="286">
        <f t="shared" si="2"/>
        <v>1390000</v>
      </c>
      <c r="M22" s="286">
        <f t="shared" si="2"/>
        <v>590000</v>
      </c>
      <c r="N22" s="286">
        <f t="shared" si="2"/>
        <v>434630</v>
      </c>
      <c r="O22" s="286">
        <f t="shared" si="2"/>
        <v>259600</v>
      </c>
      <c r="P22" s="286">
        <f t="shared" si="0"/>
        <v>263860</v>
      </c>
      <c r="Q22" s="286">
        <f t="shared" si="0"/>
        <v>241630</v>
      </c>
      <c r="R22" s="286">
        <f t="shared" si="0"/>
        <v>240930</v>
      </c>
      <c r="S22" s="210"/>
    </row>
    <row r="23" spans="1:19" x14ac:dyDescent="0.25">
      <c r="A23" s="211" t="s">
        <v>197</v>
      </c>
      <c r="B23" s="356">
        <f>SUM(C23:I23)+SUM(K23:R23)</f>
        <v>4412220</v>
      </c>
      <c r="C23" s="214">
        <f>SUM(C9:C21)</f>
        <v>3379100</v>
      </c>
      <c r="D23" s="326"/>
      <c r="E23" s="326"/>
      <c r="F23" s="326"/>
      <c r="G23" s="326"/>
      <c r="H23" s="326"/>
      <c r="I23" s="326"/>
      <c r="J23" s="327" t="s">
        <v>197</v>
      </c>
      <c r="K23" s="326"/>
      <c r="L23" s="326"/>
      <c r="M23" s="326"/>
      <c r="N23" s="326"/>
      <c r="O23" s="326">
        <v>360720</v>
      </c>
      <c r="P23" s="326"/>
      <c r="Q23" s="326">
        <v>672400</v>
      </c>
      <c r="R23" s="326"/>
      <c r="S23" s="210"/>
    </row>
    <row r="24" spans="1:19" ht="7.5" customHeight="1" x14ac:dyDescent="0.25">
      <c r="A24" s="211"/>
      <c r="B24" s="212"/>
      <c r="C24" s="214"/>
      <c r="D24" s="214"/>
      <c r="E24" s="214"/>
      <c r="F24" s="214"/>
      <c r="G24" s="214"/>
      <c r="H24" s="214"/>
      <c r="I24" s="214"/>
      <c r="J24" s="214"/>
      <c r="K24" s="214"/>
      <c r="L24" s="214"/>
      <c r="M24" s="214"/>
      <c r="N24" s="214"/>
      <c r="O24" s="214"/>
      <c r="P24" s="214"/>
      <c r="Q24" s="214"/>
      <c r="R24" s="214"/>
      <c r="S24" s="210"/>
    </row>
    <row r="25" spans="1:19" x14ac:dyDescent="0.25">
      <c r="A25" s="211" t="s">
        <v>199</v>
      </c>
      <c r="B25" s="212">
        <f t="shared" ref="B25:I25" si="3">+B23+B22</f>
        <v>106827280</v>
      </c>
      <c r="C25" s="212">
        <f t="shared" si="3"/>
        <v>82118920</v>
      </c>
      <c r="D25" s="212">
        <f t="shared" si="3"/>
        <v>4963100</v>
      </c>
      <c r="E25" s="212">
        <f t="shared" si="3"/>
        <v>3800000</v>
      </c>
      <c r="F25" s="212">
        <f t="shared" si="3"/>
        <v>3254840</v>
      </c>
      <c r="G25" s="212">
        <f t="shared" si="3"/>
        <v>2834500</v>
      </c>
      <c r="H25" s="212">
        <f t="shared" si="3"/>
        <v>2048280</v>
      </c>
      <c r="I25" s="212">
        <f t="shared" si="3"/>
        <v>1945000</v>
      </c>
      <c r="J25" s="211" t="s">
        <v>199</v>
      </c>
      <c r="K25" s="212">
        <f t="shared" ref="K25:R25" si="4">+K23+K22</f>
        <v>1408870</v>
      </c>
      <c r="L25" s="212">
        <f t="shared" si="4"/>
        <v>1390000</v>
      </c>
      <c r="M25" s="212">
        <f t="shared" si="4"/>
        <v>590000</v>
      </c>
      <c r="N25" s="212">
        <f t="shared" si="4"/>
        <v>434630</v>
      </c>
      <c r="O25" s="212">
        <f t="shared" si="4"/>
        <v>620320</v>
      </c>
      <c r="P25" s="212">
        <f t="shared" si="4"/>
        <v>263860</v>
      </c>
      <c r="Q25" s="212">
        <f t="shared" si="4"/>
        <v>914030</v>
      </c>
      <c r="R25" s="212">
        <f t="shared" si="4"/>
        <v>240930</v>
      </c>
      <c r="S25" s="210"/>
    </row>
    <row r="26" spans="1:19" x14ac:dyDescent="0.25">
      <c r="A26" s="213" t="s">
        <v>267</v>
      </c>
      <c r="B26" s="220">
        <f>+TaxRates_1982_2019!G5</f>
        <v>27.29</v>
      </c>
      <c r="C26" s="307">
        <f>+B26</f>
        <v>27.29</v>
      </c>
      <c r="D26" s="307">
        <f t="shared" ref="D26:H26" si="5">+C26</f>
        <v>27.29</v>
      </c>
      <c r="E26" s="307">
        <f t="shared" si="5"/>
        <v>27.29</v>
      </c>
      <c r="F26" s="307">
        <f t="shared" si="5"/>
        <v>27.29</v>
      </c>
      <c r="G26" s="307">
        <f t="shared" si="5"/>
        <v>27.29</v>
      </c>
      <c r="H26" s="307">
        <f t="shared" si="5"/>
        <v>27.29</v>
      </c>
      <c r="I26" s="307">
        <f t="shared" ref="I26" si="6">+G26</f>
        <v>27.29</v>
      </c>
      <c r="J26" s="213" t="s">
        <v>267</v>
      </c>
      <c r="K26" s="307">
        <f>+I26</f>
        <v>27.29</v>
      </c>
      <c r="L26" s="307">
        <f>+K26</f>
        <v>27.29</v>
      </c>
      <c r="M26" s="307">
        <f t="shared" ref="M26:R26" si="7">+L26</f>
        <v>27.29</v>
      </c>
      <c r="N26" s="307">
        <f t="shared" si="7"/>
        <v>27.29</v>
      </c>
      <c r="O26" s="307">
        <f t="shared" si="7"/>
        <v>27.29</v>
      </c>
      <c r="P26" s="307">
        <f t="shared" si="7"/>
        <v>27.29</v>
      </c>
      <c r="Q26" s="307">
        <f t="shared" si="7"/>
        <v>27.29</v>
      </c>
      <c r="R26" s="307">
        <f t="shared" si="7"/>
        <v>27.29</v>
      </c>
      <c r="S26" s="210"/>
    </row>
    <row r="27" spans="1:19" x14ac:dyDescent="0.25">
      <c r="A27" s="213" t="s">
        <v>268</v>
      </c>
      <c r="B27" s="209">
        <f>+B25/1000*B26</f>
        <v>2915316.4712</v>
      </c>
      <c r="C27" s="209">
        <f>+C25/1000*C26</f>
        <v>2241025.3267999999</v>
      </c>
      <c r="D27" s="209">
        <f t="shared" ref="D27:R27" si="8">+D25/1000*D26</f>
        <v>135442.99900000001</v>
      </c>
      <c r="E27" s="209">
        <f t="shared" si="8"/>
        <v>103702</v>
      </c>
      <c r="F27" s="209">
        <f t="shared" si="8"/>
        <v>88824.583599999998</v>
      </c>
      <c r="G27" s="209">
        <f t="shared" si="8"/>
        <v>77353.505000000005</v>
      </c>
      <c r="H27" s="209">
        <f t="shared" ref="H27" si="9">+H25/1000*H26</f>
        <v>55897.561200000004</v>
      </c>
      <c r="I27" s="209">
        <f t="shared" si="8"/>
        <v>53079.049999999996</v>
      </c>
      <c r="J27" s="213" t="s">
        <v>268</v>
      </c>
      <c r="K27" s="209">
        <f t="shared" ref="K27:O27" si="10">+K25/1000*K26</f>
        <v>38448.062299999998</v>
      </c>
      <c r="L27" s="209">
        <f t="shared" si="10"/>
        <v>37933.1</v>
      </c>
      <c r="M27" s="209">
        <f t="shared" si="10"/>
        <v>16101.1</v>
      </c>
      <c r="N27" s="209">
        <f t="shared" si="10"/>
        <v>11861.0527</v>
      </c>
      <c r="O27" s="209">
        <f t="shared" si="10"/>
        <v>16928.532800000001</v>
      </c>
      <c r="P27" s="209">
        <f t="shared" si="8"/>
        <v>7200.7394000000004</v>
      </c>
      <c r="Q27" s="209">
        <f t="shared" ref="Q27" si="11">+Q25/1000*Q26</f>
        <v>24943.878699999997</v>
      </c>
      <c r="R27" s="209">
        <f t="shared" si="8"/>
        <v>6574.9796999999999</v>
      </c>
      <c r="S27" s="210"/>
    </row>
    <row r="28" spans="1:19" x14ac:dyDescent="0.25">
      <c r="A28" s="213" t="s">
        <v>269</v>
      </c>
      <c r="B28" s="308">
        <v>25903696</v>
      </c>
      <c r="C28" s="309">
        <f>+B28</f>
        <v>25903696</v>
      </c>
      <c r="D28" s="309">
        <f t="shared" ref="D28:I28" si="12">+C28</f>
        <v>25903696</v>
      </c>
      <c r="E28" s="309">
        <f t="shared" si="12"/>
        <v>25903696</v>
      </c>
      <c r="F28" s="309">
        <f t="shared" si="12"/>
        <v>25903696</v>
      </c>
      <c r="G28" s="309">
        <f t="shared" si="12"/>
        <v>25903696</v>
      </c>
      <c r="H28" s="309">
        <f t="shared" si="12"/>
        <v>25903696</v>
      </c>
      <c r="I28" s="309">
        <f t="shared" si="12"/>
        <v>25903696</v>
      </c>
      <c r="J28" s="213" t="s">
        <v>269</v>
      </c>
      <c r="K28" s="309">
        <f>+I28</f>
        <v>25903696</v>
      </c>
      <c r="L28" s="309">
        <f>+K28</f>
        <v>25903696</v>
      </c>
      <c r="M28" s="309">
        <f t="shared" ref="M28:R28" si="13">+L28</f>
        <v>25903696</v>
      </c>
      <c r="N28" s="309">
        <f t="shared" si="13"/>
        <v>25903696</v>
      </c>
      <c r="O28" s="309">
        <f t="shared" si="13"/>
        <v>25903696</v>
      </c>
      <c r="P28" s="309">
        <f t="shared" si="13"/>
        <v>25903696</v>
      </c>
      <c r="Q28" s="309">
        <f t="shared" si="13"/>
        <v>25903696</v>
      </c>
      <c r="R28" s="309">
        <f t="shared" si="13"/>
        <v>25903696</v>
      </c>
      <c r="S28" s="210"/>
    </row>
    <row r="29" spans="1:19" x14ac:dyDescent="0.25">
      <c r="A29" s="213" t="s">
        <v>262</v>
      </c>
      <c r="B29" s="322">
        <f>+B27/B28</f>
        <v>0.11254442112044552</v>
      </c>
      <c r="C29" s="322">
        <f>+C27/C28</f>
        <v>8.6513728650923022E-2</v>
      </c>
      <c r="D29" s="322">
        <f t="shared" ref="D29:R29" si="14">+D27/D28</f>
        <v>5.2287132693342297E-3</v>
      </c>
      <c r="E29" s="322">
        <f t="shared" si="14"/>
        <v>4.0033669326570232E-3</v>
      </c>
      <c r="F29" s="322">
        <f t="shared" si="14"/>
        <v>3.4290312702866801E-3</v>
      </c>
      <c r="G29" s="322">
        <f t="shared" si="14"/>
        <v>2.9861956764779822E-3</v>
      </c>
      <c r="H29" s="322">
        <f t="shared" ref="H29" si="15">+H27/H28</f>
        <v>2.1578990581112441E-3</v>
      </c>
      <c r="I29" s="322">
        <f t="shared" si="14"/>
        <v>2.0490917589520816E-3</v>
      </c>
      <c r="J29" s="323" t="s">
        <v>262</v>
      </c>
      <c r="K29" s="322">
        <f t="shared" ref="K29:O29" si="16">+K27/K28</f>
        <v>1.4842693606348684E-3</v>
      </c>
      <c r="L29" s="322">
        <f t="shared" si="16"/>
        <v>1.4643894832613847E-3</v>
      </c>
      <c r="M29" s="322">
        <f t="shared" si="16"/>
        <v>6.2157539217569575E-4</v>
      </c>
      <c r="N29" s="322">
        <f t="shared" si="16"/>
        <v>4.578903605107163E-4</v>
      </c>
      <c r="O29" s="322">
        <f t="shared" si="16"/>
        <v>6.5351804622784334E-4</v>
      </c>
      <c r="P29" s="322">
        <f t="shared" si="14"/>
        <v>2.7798115759233741E-4</v>
      </c>
      <c r="Q29" s="322">
        <f t="shared" ref="Q29" si="17">+Q27/Q28</f>
        <v>9.6294670459381537E-4</v>
      </c>
      <c r="R29" s="322">
        <f t="shared" si="14"/>
        <v>2.5382399870659385E-4</v>
      </c>
      <c r="S29" s="210"/>
    </row>
    <row r="30" spans="1:19" ht="6.75" customHeight="1" x14ac:dyDescent="0.25">
      <c r="B30" s="210"/>
      <c r="C30" s="210"/>
      <c r="D30" s="210"/>
      <c r="E30" s="210"/>
      <c r="F30" s="210"/>
      <c r="G30" s="210"/>
      <c r="H30" s="210"/>
      <c r="I30" s="210"/>
      <c r="K30" s="210"/>
      <c r="L30" s="210"/>
      <c r="M30" s="210"/>
      <c r="N30" s="210"/>
      <c r="O30" s="210"/>
      <c r="P30" s="210"/>
      <c r="Q30" s="210"/>
      <c r="R30" s="210"/>
      <c r="S30" s="210"/>
    </row>
    <row r="31" spans="1:19" x14ac:dyDescent="0.25">
      <c r="A31" s="247" t="s">
        <v>185</v>
      </c>
      <c r="B31" s="255">
        <v>109043550</v>
      </c>
      <c r="C31" s="310">
        <f>+B31</f>
        <v>109043550</v>
      </c>
      <c r="D31" s="310">
        <f t="shared" ref="D31:I31" si="18">+C31</f>
        <v>109043550</v>
      </c>
      <c r="E31" s="310">
        <f t="shared" si="18"/>
        <v>109043550</v>
      </c>
      <c r="F31" s="310">
        <f t="shared" si="18"/>
        <v>109043550</v>
      </c>
      <c r="G31" s="310">
        <f t="shared" si="18"/>
        <v>109043550</v>
      </c>
      <c r="H31" s="310">
        <f t="shared" si="18"/>
        <v>109043550</v>
      </c>
      <c r="I31" s="310">
        <f t="shared" si="18"/>
        <v>109043550</v>
      </c>
      <c r="J31" s="247" t="s">
        <v>185</v>
      </c>
      <c r="K31" s="310">
        <f>+I31</f>
        <v>109043550</v>
      </c>
      <c r="L31" s="310">
        <f>+K31</f>
        <v>109043550</v>
      </c>
      <c r="M31" s="310">
        <f t="shared" ref="M31:R31" si="19">+L31</f>
        <v>109043550</v>
      </c>
      <c r="N31" s="310">
        <f t="shared" si="19"/>
        <v>109043550</v>
      </c>
      <c r="O31" s="310">
        <f t="shared" si="19"/>
        <v>109043550</v>
      </c>
      <c r="P31" s="310">
        <f t="shared" si="19"/>
        <v>109043550</v>
      </c>
      <c r="Q31" s="310">
        <f t="shared" si="19"/>
        <v>109043550</v>
      </c>
      <c r="R31" s="310">
        <f t="shared" si="19"/>
        <v>109043550</v>
      </c>
    </row>
    <row r="32" spans="1:19" x14ac:dyDescent="0.25">
      <c r="A32" s="241" t="s">
        <v>261</v>
      </c>
      <c r="B32" s="324">
        <f t="shared" ref="B32:I32" si="20">+B22/B31</f>
        <v>0.93921245227250949</v>
      </c>
      <c r="C32" s="324">
        <f t="shared" si="20"/>
        <v>0.72209516289592557</v>
      </c>
      <c r="D32" s="324">
        <f t="shared" si="20"/>
        <v>4.5514842464318153E-2</v>
      </c>
      <c r="E32" s="324">
        <f t="shared" si="20"/>
        <v>3.4848461921865165E-2</v>
      </c>
      <c r="F32" s="324">
        <f t="shared" si="20"/>
        <v>2.9848991526779896E-2</v>
      </c>
      <c r="G32" s="324">
        <f t="shared" si="20"/>
        <v>2.5994201399349159E-2</v>
      </c>
      <c r="H32" s="324">
        <f t="shared" si="20"/>
        <v>1.8784054627715256E-2</v>
      </c>
      <c r="I32" s="324">
        <f t="shared" si="20"/>
        <v>1.7836910115270457E-2</v>
      </c>
      <c r="J32" s="325" t="s">
        <v>261</v>
      </c>
      <c r="K32" s="324">
        <f t="shared" ref="K32:R32" si="21">+K22/K31</f>
        <v>1.2920250670488992E-2</v>
      </c>
      <c r="L32" s="324">
        <f t="shared" si="21"/>
        <v>1.274720054510331E-2</v>
      </c>
      <c r="M32" s="324">
        <f t="shared" si="21"/>
        <v>5.4106822457632752E-3</v>
      </c>
      <c r="N32" s="324">
        <f t="shared" si="21"/>
        <v>3.985838685552699E-3</v>
      </c>
      <c r="O32" s="324">
        <f t="shared" si="21"/>
        <v>2.380700188135841E-3</v>
      </c>
      <c r="P32" s="324">
        <f t="shared" si="21"/>
        <v>2.4197671480798268E-3</v>
      </c>
      <c r="Q32" s="324">
        <f t="shared" si="21"/>
        <v>2.2159036458369156E-3</v>
      </c>
      <c r="R32" s="324">
        <f t="shared" si="21"/>
        <v>2.209484192324993E-3</v>
      </c>
    </row>
    <row r="33" spans="1:9" ht="4.5" customHeight="1" x14ac:dyDescent="0.25"/>
    <row r="34" spans="1:9" x14ac:dyDescent="0.25">
      <c r="B34" s="364" t="s">
        <v>266</v>
      </c>
      <c r="D34" s="366" t="s">
        <v>211</v>
      </c>
      <c r="E34" s="365" t="s">
        <v>210</v>
      </c>
      <c r="F34" s="365" t="s">
        <v>317</v>
      </c>
      <c r="G34" s="439" t="s">
        <v>319</v>
      </c>
      <c r="H34" s="440"/>
      <c r="I34" s="441"/>
    </row>
    <row r="35" spans="1:9" x14ac:dyDescent="0.25">
      <c r="A35" s="359" t="s">
        <v>315</v>
      </c>
      <c r="B35" s="329">
        <f>+D35/(1+F35)</f>
        <v>96159915.604458258</v>
      </c>
      <c r="C35" s="373"/>
      <c r="D35" s="235">
        <f>+C6</f>
        <v>75583040</v>
      </c>
      <c r="E35" s="371">
        <f>+D35-B35</f>
        <v>-20576875.604458258</v>
      </c>
      <c r="F35" s="370">
        <v>-0.21398599900085868</v>
      </c>
      <c r="G35" s="361">
        <f>-E35/1000*B26</f>
        <v>561542.93524566584</v>
      </c>
      <c r="H35" s="435" t="s">
        <v>237</v>
      </c>
      <c r="I35" s="436"/>
    </row>
    <row r="36" spans="1:9" x14ac:dyDescent="0.25">
      <c r="A36" s="359" t="s">
        <v>316</v>
      </c>
      <c r="B36" s="329">
        <f>+D36/(1+F36)</f>
        <v>4749100.6088531762</v>
      </c>
      <c r="D36" s="235">
        <f>+C7</f>
        <v>3156780</v>
      </c>
      <c r="E36" s="371">
        <f>+D36-B36</f>
        <v>-1592320.6088531762</v>
      </c>
      <c r="F36" s="370">
        <v>-0.33528887677906949</v>
      </c>
      <c r="G36" s="361">
        <f>-E36/1000*B26</f>
        <v>43454.429415603183</v>
      </c>
      <c r="H36" s="435" t="s">
        <v>237</v>
      </c>
      <c r="I36" s="436"/>
    </row>
    <row r="37" spans="1:9" ht="15" customHeight="1" x14ac:dyDescent="0.25">
      <c r="A37" s="367" t="s">
        <v>323</v>
      </c>
      <c r="B37" s="368">
        <f>SUM(B35:B36)</f>
        <v>100909016.21331143</v>
      </c>
      <c r="C37" s="328"/>
      <c r="D37" s="369">
        <f>SUM(D35:D36)</f>
        <v>78739820</v>
      </c>
      <c r="E37" s="372">
        <f>SUM(E35:E36)</f>
        <v>-22169196.213311434</v>
      </c>
      <c r="F37" s="358"/>
      <c r="G37" s="242">
        <f>+G36+G35</f>
        <v>604997.36466126901</v>
      </c>
      <c r="H37" s="437" t="s">
        <v>237</v>
      </c>
      <c r="I37" s="438"/>
    </row>
    <row r="38" spans="1:9" ht="15" customHeight="1" x14ac:dyDescent="0.25">
      <c r="A38" s="367"/>
      <c r="B38" s="368"/>
      <c r="C38" s="328"/>
      <c r="D38" s="369"/>
      <c r="E38" s="372"/>
      <c r="F38" s="358"/>
      <c r="G38" s="358"/>
      <c r="H38" s="362"/>
      <c r="I38" s="362"/>
    </row>
    <row r="39" spans="1:9" x14ac:dyDescent="0.25">
      <c r="A39" s="291" t="s">
        <v>322</v>
      </c>
    </row>
    <row r="42" spans="1:9" x14ac:dyDescent="0.25">
      <c r="F42" s="363"/>
    </row>
    <row r="43" spans="1:9" x14ac:dyDescent="0.25">
      <c r="F43" s="363"/>
    </row>
  </sheetData>
  <mergeCells count="11">
    <mergeCell ref="A3:I3"/>
    <mergeCell ref="H36:I36"/>
    <mergeCell ref="H37:I37"/>
    <mergeCell ref="A1:I1"/>
    <mergeCell ref="J1:R1"/>
    <mergeCell ref="J3:R3"/>
    <mergeCell ref="G34:I34"/>
    <mergeCell ref="H35:I35"/>
    <mergeCell ref="J9:R21"/>
    <mergeCell ref="A5:B5"/>
    <mergeCell ref="D9:I21"/>
  </mergeCells>
  <pageMargins left="0.2" right="0.2" top="0.25" bottom="0.25" header="0.3" footer="0.3"/>
  <pageSetup orientation="landscape" r:id="rId1"/>
  <headerFooter>
    <oddFooter>&amp;LS. Pratt&amp;RJune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pane xSplit="1" ySplit="5" topLeftCell="B6" activePane="bottomRight" state="frozen"/>
      <selection sqref="A1:O1"/>
      <selection pane="topRight" sqref="A1:O1"/>
      <selection pane="bottomLeft" sqref="A1:O1"/>
      <selection pane="bottomRight" sqref="A1:O1"/>
    </sheetView>
  </sheetViews>
  <sheetFormatPr defaultRowHeight="15" x14ac:dyDescent="0.25"/>
  <cols>
    <col min="1" max="1" width="56.5703125" customWidth="1"/>
    <col min="2" max="2" width="17.7109375" bestFit="1" customWidth="1"/>
    <col min="3" max="3" width="17.28515625" customWidth="1"/>
    <col min="4" max="4" width="14.5703125" bestFit="1" customWidth="1"/>
    <col min="5" max="7" width="16" bestFit="1" customWidth="1"/>
    <col min="8" max="8" width="2.140625" customWidth="1"/>
    <col min="9" max="9" width="12.28515625" bestFit="1" customWidth="1"/>
  </cols>
  <sheetData>
    <row r="1" spans="1:8" ht="21" x14ac:dyDescent="0.25">
      <c r="A1" s="421" t="s">
        <v>201</v>
      </c>
      <c r="B1" s="421"/>
      <c r="C1" s="421"/>
      <c r="D1" s="421"/>
      <c r="E1" s="421"/>
      <c r="F1" s="421"/>
      <c r="G1" s="421"/>
    </row>
    <row r="2" spans="1:8" ht="15.75" thickBot="1" x14ac:dyDescent="0.3">
      <c r="A2" s="232"/>
      <c r="B2" s="232"/>
      <c r="C2" s="232"/>
      <c r="D2" s="232"/>
      <c r="E2" s="232"/>
      <c r="F2" s="232"/>
      <c r="G2" s="232"/>
    </row>
    <row r="3" spans="1:8" ht="15.75" thickBot="1" x14ac:dyDescent="0.3">
      <c r="A3" s="452" t="s">
        <v>278</v>
      </c>
      <c r="B3" s="453"/>
      <c r="C3" s="453"/>
      <c r="D3" s="453"/>
      <c r="E3" s="453"/>
      <c r="F3" s="453"/>
      <c r="G3" s="454"/>
    </row>
    <row r="4" spans="1:8" x14ac:dyDescent="0.25">
      <c r="A4" s="233"/>
      <c r="B4" s="233"/>
      <c r="C4" s="233"/>
      <c r="E4" s="233"/>
      <c r="F4" s="233"/>
    </row>
    <row r="5" spans="1:8" ht="33" customHeight="1" x14ac:dyDescent="0.25">
      <c r="A5" s="455" t="s">
        <v>208</v>
      </c>
      <c r="B5" s="455"/>
      <c r="C5" s="253" t="s">
        <v>203</v>
      </c>
      <c r="D5" s="253" t="s">
        <v>202</v>
      </c>
      <c r="E5" s="253" t="s">
        <v>207</v>
      </c>
      <c r="F5" s="253" t="s">
        <v>283</v>
      </c>
      <c r="G5" s="230" t="s">
        <v>204</v>
      </c>
    </row>
    <row r="6" spans="1:8" ht="22.5" x14ac:dyDescent="0.25">
      <c r="A6" s="315"/>
      <c r="B6" s="316"/>
      <c r="C6" s="318" t="s">
        <v>281</v>
      </c>
      <c r="D6" s="319" t="s">
        <v>280</v>
      </c>
      <c r="E6" s="318" t="s">
        <v>282</v>
      </c>
      <c r="F6" s="320"/>
      <c r="G6" s="319" t="s">
        <v>279</v>
      </c>
      <c r="H6" s="317"/>
    </row>
    <row r="7" spans="1:8" ht="15.75" customHeight="1" x14ac:dyDescent="0.25">
      <c r="A7" s="234" t="s">
        <v>224</v>
      </c>
      <c r="B7" s="235">
        <f>SUM(C7:G7)</f>
        <v>6900</v>
      </c>
      <c r="C7" s="278">
        <v>6900</v>
      </c>
      <c r="D7" s="279"/>
      <c r="E7" s="279"/>
      <c r="F7" s="279"/>
      <c r="G7" s="279"/>
      <c r="H7" s="210"/>
    </row>
    <row r="8" spans="1:8" ht="15" customHeight="1" x14ac:dyDescent="0.25">
      <c r="A8" s="234" t="s">
        <v>225</v>
      </c>
      <c r="B8" s="235">
        <f t="shared" ref="B8:B13" si="0">SUM(C8:G8)</f>
        <v>16963600</v>
      </c>
      <c r="C8" s="278">
        <f>16963600</f>
        <v>16963600</v>
      </c>
      <c r="D8" s="279"/>
      <c r="E8" s="279"/>
      <c r="F8" s="279"/>
      <c r="G8" s="279"/>
      <c r="H8" s="210"/>
    </row>
    <row r="9" spans="1:8" ht="15" customHeight="1" x14ac:dyDescent="0.25">
      <c r="A9" s="234" t="s">
        <v>226</v>
      </c>
      <c r="B9" s="235">
        <f t="shared" si="0"/>
        <v>8142900</v>
      </c>
      <c r="C9" s="278"/>
      <c r="D9" s="279">
        <v>8142900</v>
      </c>
      <c r="E9" s="279"/>
      <c r="F9" s="279"/>
      <c r="G9" s="279"/>
      <c r="H9" s="210"/>
    </row>
    <row r="10" spans="1:8" ht="15" customHeight="1" x14ac:dyDescent="0.25">
      <c r="A10" s="234" t="s">
        <v>227</v>
      </c>
      <c r="B10" s="235">
        <f t="shared" si="0"/>
        <v>5716200</v>
      </c>
      <c r="C10" s="278"/>
      <c r="D10" s="279"/>
      <c r="E10" s="279">
        <v>5716200</v>
      </c>
      <c r="F10" s="279"/>
      <c r="G10" s="279"/>
      <c r="H10" s="210"/>
    </row>
    <row r="11" spans="1:8" ht="15" customHeight="1" x14ac:dyDescent="0.25">
      <c r="A11" s="234" t="s">
        <v>229</v>
      </c>
      <c r="B11" s="235">
        <f>SUM(C11:G11)</f>
        <v>102800</v>
      </c>
      <c r="C11" s="278"/>
      <c r="D11" s="279"/>
      <c r="E11" s="279"/>
      <c r="F11" s="279">
        <v>102800</v>
      </c>
      <c r="G11" s="279"/>
      <c r="H11" s="210"/>
    </row>
    <row r="12" spans="1:8" ht="15" customHeight="1" x14ac:dyDescent="0.25">
      <c r="A12" s="234" t="s">
        <v>228</v>
      </c>
      <c r="B12" s="235">
        <f t="shared" si="0"/>
        <v>1986000</v>
      </c>
      <c r="C12" s="278"/>
      <c r="D12" s="279"/>
      <c r="E12" s="279"/>
      <c r="F12" s="279">
        <f>1986000</f>
        <v>1986000</v>
      </c>
      <c r="G12" s="279"/>
      <c r="H12" s="210"/>
    </row>
    <row r="13" spans="1:8" ht="15.75" customHeight="1" x14ac:dyDescent="0.25">
      <c r="A13" s="234" t="s">
        <v>230</v>
      </c>
      <c r="B13" s="235">
        <f t="shared" si="0"/>
        <v>2204800</v>
      </c>
      <c r="C13" s="278"/>
      <c r="D13" s="279"/>
      <c r="E13" s="279"/>
      <c r="F13" s="279"/>
      <c r="G13" s="279">
        <v>2204800</v>
      </c>
      <c r="H13" s="210"/>
    </row>
    <row r="14" spans="1:8" x14ac:dyDescent="0.25">
      <c r="A14" s="211" t="s">
        <v>205</v>
      </c>
      <c r="B14" s="212">
        <f>SUM(C14:G14)</f>
        <v>35123200</v>
      </c>
      <c r="C14" s="231">
        <f>SUM(C7:C13)</f>
        <v>16970500</v>
      </c>
      <c r="D14" s="231">
        <f>SUM(D7:D13)</f>
        <v>8142900</v>
      </c>
      <c r="E14" s="231">
        <f>SUM(E7:E13)</f>
        <v>5716200</v>
      </c>
      <c r="F14" s="231">
        <f>SUM(F7:F13)</f>
        <v>2088800</v>
      </c>
      <c r="G14" s="231">
        <f>SUM(G7:G13)</f>
        <v>2204800</v>
      </c>
      <c r="H14" s="210"/>
    </row>
    <row r="15" spans="1:8" x14ac:dyDescent="0.25">
      <c r="A15" s="211"/>
      <c r="B15" s="212"/>
      <c r="C15" s="231"/>
      <c r="D15" s="231"/>
      <c r="E15" s="231"/>
      <c r="F15" s="231"/>
      <c r="G15" s="231"/>
      <c r="H15" s="210"/>
    </row>
    <row r="16" spans="1:8" x14ac:dyDescent="0.25">
      <c r="A16" s="213" t="s">
        <v>221</v>
      </c>
      <c r="B16" s="220">
        <f>+TaxRates_1982_2019!E6</f>
        <v>17.63</v>
      </c>
      <c r="C16" s="220">
        <f>+B16</f>
        <v>17.63</v>
      </c>
      <c r="D16" s="220">
        <f t="shared" ref="D16:G16" si="1">+C16</f>
        <v>17.63</v>
      </c>
      <c r="E16" s="220">
        <f t="shared" si="1"/>
        <v>17.63</v>
      </c>
      <c r="F16" s="220">
        <f t="shared" si="1"/>
        <v>17.63</v>
      </c>
      <c r="G16" s="220">
        <f t="shared" si="1"/>
        <v>17.63</v>
      </c>
      <c r="H16" s="210"/>
    </row>
    <row r="17" spans="1:9" x14ac:dyDescent="0.25">
      <c r="A17" s="211" t="s">
        <v>222</v>
      </c>
      <c r="B17" s="212">
        <f>+B14/1000*B16</f>
        <v>619222.01599999995</v>
      </c>
      <c r="C17" s="212">
        <f t="shared" ref="C17:G17" si="2">+C14/1000*C16</f>
        <v>299189.91499999998</v>
      </c>
      <c r="D17" s="212">
        <f t="shared" si="2"/>
        <v>143559.32699999999</v>
      </c>
      <c r="E17" s="212">
        <f t="shared" si="2"/>
        <v>100776.60599999999</v>
      </c>
      <c r="F17" s="212">
        <f t="shared" si="2"/>
        <v>36825.544000000002</v>
      </c>
      <c r="G17" s="212">
        <f t="shared" si="2"/>
        <v>38870.624000000003</v>
      </c>
      <c r="H17" s="210"/>
    </row>
    <row r="18" spans="1:9" x14ac:dyDescent="0.25">
      <c r="A18" s="213" t="s">
        <v>232</v>
      </c>
      <c r="B18" s="236">
        <v>24988866</v>
      </c>
      <c r="C18" s="236">
        <v>24988866</v>
      </c>
      <c r="D18" s="236">
        <v>24988866</v>
      </c>
      <c r="E18" s="236">
        <v>24988866</v>
      </c>
      <c r="F18" s="236">
        <v>24988866</v>
      </c>
      <c r="G18" s="236">
        <v>24988866</v>
      </c>
      <c r="H18" s="210"/>
    </row>
    <row r="19" spans="1:9" x14ac:dyDescent="0.25">
      <c r="A19" s="213" t="s">
        <v>231</v>
      </c>
      <c r="B19" s="254">
        <f>+B17/B18</f>
        <v>2.4779916623667516E-2</v>
      </c>
      <c r="C19" s="254">
        <f t="shared" ref="C19:G19" si="3">+C17/C18</f>
        <v>1.1972928863598692E-2</v>
      </c>
      <c r="D19" s="254">
        <f t="shared" si="3"/>
        <v>5.7449316427564175E-3</v>
      </c>
      <c r="E19" s="254">
        <f t="shared" si="3"/>
        <v>4.0328603146697409E-3</v>
      </c>
      <c r="F19" s="254">
        <f t="shared" si="3"/>
        <v>1.4736780772684924E-3</v>
      </c>
      <c r="G19" s="254">
        <f t="shared" si="3"/>
        <v>1.5555177253741728E-3</v>
      </c>
      <c r="H19" s="210"/>
    </row>
    <row r="20" spans="1:9" ht="7.5" customHeight="1" x14ac:dyDescent="0.25">
      <c r="A20" s="2"/>
      <c r="B20" s="208"/>
      <c r="C20" s="208"/>
      <c r="D20" s="208"/>
      <c r="E20" s="208"/>
      <c r="F20" s="208"/>
      <c r="G20" s="208"/>
      <c r="H20" s="210"/>
    </row>
    <row r="21" spans="1:9" ht="18.75" x14ac:dyDescent="0.25">
      <c r="A21" s="211" t="s">
        <v>206</v>
      </c>
      <c r="B21" s="240">
        <f t="shared" ref="B21" si="4">SUM(C21:G21)</f>
        <v>1115</v>
      </c>
      <c r="C21" s="240">
        <v>522</v>
      </c>
      <c r="D21" s="240">
        <v>279</v>
      </c>
      <c r="E21" s="240">
        <v>186</v>
      </c>
      <c r="F21" s="240">
        <v>64</v>
      </c>
      <c r="G21" s="240">
        <v>64</v>
      </c>
    </row>
    <row r="22" spans="1:9" ht="7.5" customHeight="1" x14ac:dyDescent="0.25">
      <c r="A22" s="211"/>
      <c r="B22" s="238"/>
      <c r="C22" s="239"/>
      <c r="D22" s="239"/>
      <c r="E22" s="239"/>
      <c r="F22" s="239"/>
      <c r="G22" s="239"/>
    </row>
    <row r="23" spans="1:9" x14ac:dyDescent="0.25">
      <c r="A23" s="211" t="s">
        <v>235</v>
      </c>
      <c r="B23" s="212">
        <f>SUM(C23:G23)</f>
        <v>18312.210479999994</v>
      </c>
      <c r="C23" s="251">
        <f>(+C14-100000)/1000*C16*0.03</f>
        <v>8922.8074499999984</v>
      </c>
      <c r="D23" s="251">
        <f>(+D14-100000)/1000*D16*0.03</f>
        <v>4253.8898099999997</v>
      </c>
      <c r="E23" s="251">
        <f>(+E14-100000)/1000*E16*0.03</f>
        <v>2970.4081799999994</v>
      </c>
      <c r="F23" s="251">
        <f>(+F14-100000)/1000*F16*0.03</f>
        <v>1051.8763199999999</v>
      </c>
      <c r="G23" s="251">
        <f>(+G14-100000)/1000*G16*0.03</f>
        <v>1113.2287200000001</v>
      </c>
    </row>
    <row r="24" spans="1:9" ht="7.5" customHeight="1" x14ac:dyDescent="0.25">
      <c r="A24" s="211"/>
      <c r="B24" s="238"/>
      <c r="C24" s="239"/>
      <c r="D24" s="239"/>
      <c r="E24" s="239"/>
      <c r="F24" s="239"/>
      <c r="G24" s="239"/>
    </row>
    <row r="25" spans="1:9" ht="30" x14ac:dyDescent="0.25">
      <c r="A25" s="237" t="s">
        <v>255</v>
      </c>
      <c r="B25" s="250">
        <f>+B14/B21</f>
        <v>31500.627802690582</v>
      </c>
      <c r="C25" s="250">
        <f t="shared" ref="C25:G25" si="5">+C14/C21</f>
        <v>32510.536398467433</v>
      </c>
      <c r="D25" s="250">
        <f t="shared" si="5"/>
        <v>29186.021505376346</v>
      </c>
      <c r="E25" s="250">
        <f t="shared" si="5"/>
        <v>30732.258064516129</v>
      </c>
      <c r="F25" s="250">
        <f t="shared" si="5"/>
        <v>32637.5</v>
      </c>
      <c r="G25" s="250">
        <f t="shared" si="5"/>
        <v>34450</v>
      </c>
    </row>
    <row r="26" spans="1:9" ht="30" x14ac:dyDescent="0.25">
      <c r="A26" s="237" t="s">
        <v>233</v>
      </c>
      <c r="B26" s="252">
        <f t="shared" ref="B26:G26" si="6">+B17/B21</f>
        <v>555.35606816143491</v>
      </c>
      <c r="C26" s="252">
        <f t="shared" si="6"/>
        <v>573.16075670498083</v>
      </c>
      <c r="D26" s="252">
        <f t="shared" si="6"/>
        <v>514.54955913978495</v>
      </c>
      <c r="E26" s="252">
        <f t="shared" si="6"/>
        <v>541.80970967741928</v>
      </c>
      <c r="F26" s="252">
        <f t="shared" si="6"/>
        <v>575.39912500000003</v>
      </c>
      <c r="G26" s="252">
        <f t="shared" si="6"/>
        <v>607.35350000000005</v>
      </c>
    </row>
    <row r="27" spans="1:9" ht="30" x14ac:dyDescent="0.25">
      <c r="A27" s="237" t="s">
        <v>223</v>
      </c>
      <c r="B27" s="250">
        <f>+B23/B21</f>
        <v>16.423507156950667</v>
      </c>
      <c r="C27" s="250">
        <f t="shared" ref="C27:G27" si="7">+C23/C21</f>
        <v>17.093500862068961</v>
      </c>
      <c r="D27" s="250">
        <f t="shared" si="7"/>
        <v>15.246916881720429</v>
      </c>
      <c r="E27" s="250">
        <f t="shared" si="7"/>
        <v>15.969936451612901</v>
      </c>
      <c r="F27" s="250">
        <f t="shared" si="7"/>
        <v>16.435567499999998</v>
      </c>
      <c r="G27" s="250">
        <f t="shared" si="7"/>
        <v>17.394198750000001</v>
      </c>
    </row>
    <row r="28" spans="1:9" ht="45" x14ac:dyDescent="0.25">
      <c r="A28" s="237" t="s">
        <v>236</v>
      </c>
      <c r="B28" s="250">
        <v>108</v>
      </c>
      <c r="C28" s="250">
        <v>108</v>
      </c>
      <c r="D28" s="250">
        <v>108</v>
      </c>
      <c r="E28" s="250">
        <v>108</v>
      </c>
      <c r="F28" s="250">
        <v>108</v>
      </c>
      <c r="G28" s="250">
        <v>108</v>
      </c>
    </row>
    <row r="29" spans="1:9" ht="33" customHeight="1" x14ac:dyDescent="0.25">
      <c r="A29" s="237" t="s">
        <v>234</v>
      </c>
      <c r="B29" s="250">
        <f>SUM(B26:B28)</f>
        <v>679.77957531838558</v>
      </c>
      <c r="C29" s="250">
        <f t="shared" ref="C29:G29" si="8">SUM(C26:C28)</f>
        <v>698.25425756704976</v>
      </c>
      <c r="D29" s="250">
        <f t="shared" si="8"/>
        <v>637.79647602150533</v>
      </c>
      <c r="E29" s="250">
        <f t="shared" si="8"/>
        <v>665.77964612903213</v>
      </c>
      <c r="F29" s="250">
        <f t="shared" si="8"/>
        <v>699.83469250000007</v>
      </c>
      <c r="G29" s="250">
        <f t="shared" si="8"/>
        <v>732.74769875000004</v>
      </c>
      <c r="I29" s="298">
        <f>+I30/B31</f>
        <v>3.048610133378618</v>
      </c>
    </row>
    <row r="30" spans="1:9" ht="30" x14ac:dyDescent="0.25">
      <c r="A30" s="297" t="s">
        <v>260</v>
      </c>
      <c r="B30" s="250">
        <f>+TaxRates_1982_2019!N5+TaxRates_1982_2019!AA5</f>
        <v>5574.5039999999999</v>
      </c>
      <c r="C30" s="250">
        <f>+B30</f>
        <v>5574.5039999999999</v>
      </c>
      <c r="D30" s="250">
        <f t="shared" ref="D30:G30" si="9">+C30</f>
        <v>5574.5039999999999</v>
      </c>
      <c r="E30" s="250">
        <f t="shared" si="9"/>
        <v>5574.5039999999999</v>
      </c>
      <c r="F30" s="250">
        <f t="shared" si="9"/>
        <v>5574.5039999999999</v>
      </c>
      <c r="G30" s="250">
        <f t="shared" si="9"/>
        <v>5574.5039999999999</v>
      </c>
      <c r="I30" s="299">
        <v>25</v>
      </c>
    </row>
    <row r="31" spans="1:9" ht="18.75" x14ac:dyDescent="0.3">
      <c r="A31" s="295" t="s">
        <v>276</v>
      </c>
      <c r="B31" s="296">
        <f>+B30/B29</f>
        <v>8.2004582108679749</v>
      </c>
      <c r="C31" s="296">
        <f t="shared" ref="C31:G31" si="10">+C30/C29</f>
        <v>7.9834873036412652</v>
      </c>
      <c r="D31" s="296">
        <f t="shared" si="10"/>
        <v>8.7402552531695665</v>
      </c>
      <c r="E31" s="296">
        <f t="shared" si="10"/>
        <v>8.3728963965948981</v>
      </c>
      <c r="F31" s="296">
        <f t="shared" si="10"/>
        <v>7.9654582142625054</v>
      </c>
      <c r="G31" s="296">
        <f t="shared" si="10"/>
        <v>7.6076717941381311</v>
      </c>
    </row>
    <row r="32" spans="1:9" ht="15" customHeight="1" x14ac:dyDescent="0.25">
      <c r="A32" s="456" t="s">
        <v>209</v>
      </c>
      <c r="B32" s="456"/>
      <c r="C32" s="456"/>
      <c r="D32" s="456"/>
      <c r="E32" s="456"/>
      <c r="F32" s="456"/>
      <c r="G32" s="456"/>
    </row>
    <row r="33" spans="1:7" x14ac:dyDescent="0.25">
      <c r="A33" s="456"/>
      <c r="B33" s="456"/>
      <c r="C33" s="456"/>
      <c r="D33" s="456"/>
      <c r="E33" s="456"/>
      <c r="F33" s="456"/>
      <c r="G33" s="456"/>
    </row>
    <row r="34" spans="1:7" x14ac:dyDescent="0.25">
      <c r="A34" s="456"/>
      <c r="B34" s="456"/>
      <c r="C34" s="456"/>
      <c r="D34" s="456"/>
      <c r="E34" s="456"/>
      <c r="F34" s="456"/>
      <c r="G34" s="456"/>
    </row>
    <row r="35" spans="1:7" x14ac:dyDescent="0.25">
      <c r="A35" s="456"/>
      <c r="B35" s="456"/>
      <c r="C35" s="456"/>
      <c r="D35" s="456"/>
      <c r="E35" s="456"/>
      <c r="F35" s="456"/>
      <c r="G35" s="456"/>
    </row>
    <row r="36" spans="1:7" x14ac:dyDescent="0.25">
      <c r="A36" s="456"/>
      <c r="B36" s="456"/>
      <c r="C36" s="456"/>
      <c r="D36" s="456"/>
      <c r="E36" s="456"/>
      <c r="F36" s="456"/>
      <c r="G36" s="456"/>
    </row>
    <row r="37" spans="1:7" x14ac:dyDescent="0.25">
      <c r="A37" s="456"/>
      <c r="B37" s="456"/>
      <c r="C37" s="456"/>
      <c r="D37" s="456"/>
      <c r="E37" s="456"/>
      <c r="F37" s="456"/>
      <c r="G37" s="456"/>
    </row>
  </sheetData>
  <mergeCells count="4">
    <mergeCell ref="A1:G1"/>
    <mergeCell ref="A3:G3"/>
    <mergeCell ref="A5:B5"/>
    <mergeCell ref="A32:G37"/>
  </mergeCells>
  <hyperlinks>
    <hyperlink ref="G6" r:id="rId1"/>
    <hyperlink ref="D6" r:id="rId2"/>
    <hyperlink ref="C6" r:id="rId3"/>
    <hyperlink ref="E6" r:id="rId4"/>
  </hyperlinks>
  <pageMargins left="0.2" right="0.2" top="0.25" bottom="0.25" header="0.3" footer="0.3"/>
  <pageSetup scale="85" orientation="landscape" r:id="rId5"/>
  <headerFooter>
    <oddFooter>&amp;LS. Pratt&amp;RJune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sqref="A1:O1"/>
    </sheetView>
  </sheetViews>
  <sheetFormatPr defaultRowHeight="15" x14ac:dyDescent="0.25"/>
  <cols>
    <col min="1" max="1" width="56.5703125" customWidth="1"/>
    <col min="2" max="2" width="17.7109375" bestFit="1" customWidth="1"/>
    <col min="3" max="3" width="17.28515625" customWidth="1"/>
    <col min="4" max="4" width="14.5703125" bestFit="1" customWidth="1"/>
    <col min="5" max="7" width="16" bestFit="1" customWidth="1"/>
    <col min="8" max="8" width="2.140625" customWidth="1"/>
    <col min="9" max="9" width="12.28515625" bestFit="1" customWidth="1"/>
  </cols>
  <sheetData>
    <row r="1" spans="1:8" ht="21" x14ac:dyDescent="0.25">
      <c r="A1" s="421" t="s">
        <v>201</v>
      </c>
      <c r="B1" s="421"/>
      <c r="C1" s="421"/>
      <c r="D1" s="421"/>
      <c r="E1" s="421"/>
      <c r="F1" s="421"/>
      <c r="G1" s="421"/>
    </row>
    <row r="2" spans="1:8" ht="15.75" thickBot="1" x14ac:dyDescent="0.3">
      <c r="A2" s="232"/>
      <c r="B2" s="232"/>
      <c r="C2" s="232"/>
      <c r="D2" s="232"/>
      <c r="E2" s="232"/>
      <c r="F2" s="232"/>
      <c r="G2" s="232"/>
    </row>
    <row r="3" spans="1:8" ht="15.75" thickBot="1" x14ac:dyDescent="0.3">
      <c r="A3" s="457" t="s">
        <v>286</v>
      </c>
      <c r="B3" s="458"/>
      <c r="C3" s="458"/>
      <c r="D3" s="458"/>
      <c r="E3" s="458"/>
      <c r="F3" s="458"/>
      <c r="G3" s="459"/>
    </row>
    <row r="4" spans="1:8" x14ac:dyDescent="0.25">
      <c r="A4" s="233"/>
      <c r="B4" s="233"/>
      <c r="C4" s="233"/>
      <c r="E4" s="233"/>
      <c r="F4" s="233"/>
    </row>
    <row r="5" spans="1:8" ht="33" customHeight="1" x14ac:dyDescent="0.25">
      <c r="A5" s="455" t="s">
        <v>208</v>
      </c>
      <c r="B5" s="455"/>
      <c r="C5" s="253" t="s">
        <v>203</v>
      </c>
      <c r="D5" s="253" t="s">
        <v>202</v>
      </c>
      <c r="E5" s="253" t="s">
        <v>207</v>
      </c>
      <c r="F5" s="253" t="s">
        <v>283</v>
      </c>
      <c r="G5" s="230" t="s">
        <v>204</v>
      </c>
    </row>
    <row r="6" spans="1:8" ht="22.5" x14ac:dyDescent="0.25">
      <c r="A6" s="315"/>
      <c r="B6" s="316"/>
      <c r="C6" s="318" t="s">
        <v>281</v>
      </c>
      <c r="D6" s="319" t="s">
        <v>280</v>
      </c>
      <c r="E6" s="318" t="s">
        <v>282</v>
      </c>
      <c r="F6" s="320"/>
      <c r="G6" s="319" t="s">
        <v>279</v>
      </c>
      <c r="H6" s="317"/>
    </row>
    <row r="7" spans="1:8" ht="15.75" customHeight="1" x14ac:dyDescent="0.25">
      <c r="A7" s="234" t="s">
        <v>289</v>
      </c>
      <c r="B7" s="235">
        <f>SUM(C7:G7)</f>
        <v>6900</v>
      </c>
      <c r="C7" s="278">
        <v>6900</v>
      </c>
      <c r="D7" s="279"/>
      <c r="E7" s="279"/>
      <c r="F7" s="279"/>
      <c r="G7" s="279"/>
      <c r="H7" s="210"/>
    </row>
    <row r="8" spans="1:8" ht="15" customHeight="1" x14ac:dyDescent="0.25">
      <c r="A8" s="234" t="s">
        <v>290</v>
      </c>
      <c r="B8" s="235">
        <f t="shared" ref="B8:B13" si="0">SUM(C8:G8)</f>
        <v>17002500</v>
      </c>
      <c r="C8" s="278">
        <f>17002500</f>
        <v>17002500</v>
      </c>
      <c r="D8" s="279"/>
      <c r="E8" s="279"/>
      <c r="F8" s="279"/>
      <c r="G8" s="279"/>
      <c r="H8" s="210"/>
    </row>
    <row r="9" spans="1:8" ht="15" customHeight="1" x14ac:dyDescent="0.25">
      <c r="A9" s="234" t="s">
        <v>291</v>
      </c>
      <c r="B9" s="235">
        <f t="shared" si="0"/>
        <v>8173000</v>
      </c>
      <c r="C9" s="278"/>
      <c r="D9" s="279">
        <v>8173000</v>
      </c>
      <c r="E9" s="279"/>
      <c r="F9" s="279"/>
      <c r="G9" s="279"/>
      <c r="H9" s="210"/>
    </row>
    <row r="10" spans="1:8" ht="15" customHeight="1" x14ac:dyDescent="0.25">
      <c r="A10" s="234" t="s">
        <v>292</v>
      </c>
      <c r="B10" s="235">
        <f t="shared" si="0"/>
        <v>5731300</v>
      </c>
      <c r="C10" s="278"/>
      <c r="D10" s="279"/>
      <c r="E10" s="279">
        <v>5731300</v>
      </c>
      <c r="F10" s="279"/>
      <c r="G10" s="279"/>
      <c r="H10" s="210"/>
    </row>
    <row r="11" spans="1:8" ht="15" customHeight="1" x14ac:dyDescent="0.25">
      <c r="A11" s="234" t="s">
        <v>287</v>
      </c>
      <c r="B11" s="235">
        <f>SUM(C11:G11)</f>
        <v>102800</v>
      </c>
      <c r="C11" s="278"/>
      <c r="D11" s="279"/>
      <c r="E11" s="279"/>
      <c r="F11" s="279">
        <v>102800</v>
      </c>
      <c r="G11" s="279"/>
      <c r="H11" s="210"/>
    </row>
    <row r="12" spans="1:8" ht="15" customHeight="1" x14ac:dyDescent="0.25">
      <c r="A12" s="234" t="s">
        <v>288</v>
      </c>
      <c r="B12" s="235">
        <f t="shared" si="0"/>
        <v>1992500</v>
      </c>
      <c r="C12" s="278"/>
      <c r="D12" s="279"/>
      <c r="E12" s="279"/>
      <c r="F12" s="279">
        <v>1992500</v>
      </c>
      <c r="G12" s="279"/>
      <c r="H12" s="210"/>
    </row>
    <row r="13" spans="1:8" ht="15.75" customHeight="1" x14ac:dyDescent="0.25">
      <c r="A13" s="234" t="s">
        <v>293</v>
      </c>
      <c r="B13" s="235">
        <f t="shared" si="0"/>
        <v>2210000</v>
      </c>
      <c r="C13" s="278"/>
      <c r="D13" s="279"/>
      <c r="E13" s="279"/>
      <c r="F13" s="279"/>
      <c r="G13" s="279">
        <v>2210000</v>
      </c>
      <c r="H13" s="210"/>
    </row>
    <row r="14" spans="1:8" x14ac:dyDescent="0.25">
      <c r="A14" s="211" t="s">
        <v>205</v>
      </c>
      <c r="B14" s="212">
        <f>SUM(C14:G14)</f>
        <v>35219000</v>
      </c>
      <c r="C14" s="231">
        <f>SUM(C7:C13)</f>
        <v>17009400</v>
      </c>
      <c r="D14" s="231">
        <f>SUM(D7:D13)</f>
        <v>8173000</v>
      </c>
      <c r="E14" s="231">
        <f>SUM(E7:E13)</f>
        <v>5731300</v>
      </c>
      <c r="F14" s="231">
        <f>SUM(F7:F13)</f>
        <v>2095300</v>
      </c>
      <c r="G14" s="231">
        <f>SUM(G7:G13)</f>
        <v>2210000</v>
      </c>
      <c r="H14" s="210"/>
    </row>
    <row r="15" spans="1:8" x14ac:dyDescent="0.25">
      <c r="A15" s="211"/>
      <c r="B15" s="212"/>
      <c r="C15" s="231"/>
      <c r="D15" s="231"/>
      <c r="E15" s="231"/>
      <c r="F15" s="231"/>
      <c r="G15" s="231"/>
      <c r="H15" s="210"/>
    </row>
    <row r="16" spans="1:8" x14ac:dyDescent="0.25">
      <c r="A16" s="213" t="s">
        <v>294</v>
      </c>
      <c r="B16" s="220">
        <f>+TaxRates_1982_2019!E5</f>
        <v>17.05</v>
      </c>
      <c r="C16" s="307">
        <f>+B16</f>
        <v>17.05</v>
      </c>
      <c r="D16" s="307">
        <f t="shared" ref="D16:G16" si="1">+C16</f>
        <v>17.05</v>
      </c>
      <c r="E16" s="307">
        <f t="shared" si="1"/>
        <v>17.05</v>
      </c>
      <c r="F16" s="307">
        <f t="shared" si="1"/>
        <v>17.05</v>
      </c>
      <c r="G16" s="307">
        <f t="shared" si="1"/>
        <v>17.05</v>
      </c>
      <c r="H16" s="210"/>
    </row>
    <row r="17" spans="1:9" x14ac:dyDescent="0.25">
      <c r="A17" s="211" t="s">
        <v>296</v>
      </c>
      <c r="B17" s="212">
        <f>+B14/1000*B16</f>
        <v>600483.95000000007</v>
      </c>
      <c r="C17" s="212">
        <f t="shared" ref="C17:G17" si="2">+C14/1000*C16</f>
        <v>290010.27</v>
      </c>
      <c r="D17" s="212">
        <f t="shared" si="2"/>
        <v>139349.65</v>
      </c>
      <c r="E17" s="212">
        <f t="shared" si="2"/>
        <v>97718.665000000008</v>
      </c>
      <c r="F17" s="212">
        <f t="shared" si="2"/>
        <v>35724.865000000005</v>
      </c>
      <c r="G17" s="212">
        <f t="shared" si="2"/>
        <v>37680.5</v>
      </c>
      <c r="H17" s="210"/>
    </row>
    <row r="18" spans="1:9" x14ac:dyDescent="0.25">
      <c r="A18" s="213" t="s">
        <v>295</v>
      </c>
      <c r="B18" s="329">
        <f>+FY2019_Utilities!B28</f>
        <v>25903696</v>
      </c>
      <c r="C18" s="329">
        <f>+B18</f>
        <v>25903696</v>
      </c>
      <c r="D18" s="329">
        <f t="shared" ref="D18:G18" si="3">+C18</f>
        <v>25903696</v>
      </c>
      <c r="E18" s="329">
        <f t="shared" si="3"/>
        <v>25903696</v>
      </c>
      <c r="F18" s="329">
        <f t="shared" si="3"/>
        <v>25903696</v>
      </c>
      <c r="G18" s="329">
        <f t="shared" si="3"/>
        <v>25903696</v>
      </c>
      <c r="H18" s="210"/>
    </row>
    <row r="19" spans="1:9" x14ac:dyDescent="0.25">
      <c r="A19" s="213" t="s">
        <v>231</v>
      </c>
      <c r="B19" s="254">
        <f>+B17/B18</f>
        <v>2.3181400445712461E-2</v>
      </c>
      <c r="C19" s="254">
        <f t="shared" ref="C19:G19" si="4">+C17/C18</f>
        <v>1.1195710063922925E-2</v>
      </c>
      <c r="D19" s="254">
        <f t="shared" si="4"/>
        <v>5.3795276936542177E-3</v>
      </c>
      <c r="E19" s="254">
        <f t="shared" si="4"/>
        <v>3.7723830993075277E-3</v>
      </c>
      <c r="F19" s="254">
        <f t="shared" si="4"/>
        <v>1.3791416097532956E-3</v>
      </c>
      <c r="G19" s="254">
        <f t="shared" si="4"/>
        <v>1.454637979074492E-3</v>
      </c>
      <c r="H19" s="210"/>
    </row>
    <row r="20" spans="1:9" ht="7.5" customHeight="1" x14ac:dyDescent="0.25">
      <c r="A20" s="2"/>
      <c r="B20" s="208"/>
      <c r="C20" s="208"/>
      <c r="D20" s="208"/>
      <c r="E20" s="208"/>
      <c r="F20" s="208"/>
      <c r="G20" s="208"/>
      <c r="H20" s="210"/>
    </row>
    <row r="21" spans="1:9" ht="18.75" x14ac:dyDescent="0.25">
      <c r="A21" s="211" t="s">
        <v>206</v>
      </c>
      <c r="B21" s="240">
        <f t="shared" ref="B21" si="5">SUM(C21:G21)</f>
        <v>1115</v>
      </c>
      <c r="C21" s="240">
        <v>522</v>
      </c>
      <c r="D21" s="240">
        <v>279</v>
      </c>
      <c r="E21" s="240">
        <v>186</v>
      </c>
      <c r="F21" s="240">
        <v>64</v>
      </c>
      <c r="G21" s="240">
        <v>64</v>
      </c>
    </row>
    <row r="22" spans="1:9" ht="7.5" customHeight="1" x14ac:dyDescent="0.25">
      <c r="A22" s="211"/>
      <c r="B22" s="238"/>
      <c r="C22" s="239"/>
      <c r="D22" s="239"/>
      <c r="E22" s="239"/>
      <c r="F22" s="239"/>
      <c r="G22" s="239"/>
    </row>
    <row r="23" spans="1:9" x14ac:dyDescent="0.25">
      <c r="A23" s="211" t="s">
        <v>297</v>
      </c>
      <c r="B23" s="212">
        <f>SUM(C23:G23)</f>
        <v>17758.768499999998</v>
      </c>
      <c r="C23" s="251">
        <f>(+C14-100000)/1000*C16*0.03</f>
        <v>8649.1581000000006</v>
      </c>
      <c r="D23" s="251">
        <f>(+D14-100000)/1000*D16*0.03</f>
        <v>4129.3395</v>
      </c>
      <c r="E23" s="251">
        <f>(+E14-100000)/1000*E16*0.03</f>
        <v>2880.4099500000002</v>
      </c>
      <c r="F23" s="251">
        <f>(+F14-100000)/1000*F16*0.03</f>
        <v>1020.5959499999999</v>
      </c>
      <c r="G23" s="251">
        <f>(+G14-100000)/1000*G16*0.03</f>
        <v>1079.2649999999999</v>
      </c>
    </row>
    <row r="24" spans="1:9" ht="7.5" customHeight="1" x14ac:dyDescent="0.25">
      <c r="A24" s="211"/>
      <c r="B24" s="238"/>
      <c r="C24" s="239"/>
      <c r="D24" s="239"/>
      <c r="E24" s="239"/>
      <c r="F24" s="239"/>
      <c r="G24" s="239"/>
    </row>
    <row r="25" spans="1:9" ht="30" x14ac:dyDescent="0.25">
      <c r="A25" s="237" t="s">
        <v>305</v>
      </c>
      <c r="B25" s="250">
        <f>+B14/B21</f>
        <v>31586.547085201793</v>
      </c>
      <c r="C25" s="250">
        <f t="shared" ref="C25:G25" si="6">+C14/C21</f>
        <v>32585.057471264368</v>
      </c>
      <c r="D25" s="250">
        <f t="shared" si="6"/>
        <v>29293.906810035842</v>
      </c>
      <c r="E25" s="250">
        <f t="shared" si="6"/>
        <v>30813.440860215054</v>
      </c>
      <c r="F25" s="250">
        <f t="shared" si="6"/>
        <v>32739.0625</v>
      </c>
      <c r="G25" s="250">
        <f t="shared" si="6"/>
        <v>34531.25</v>
      </c>
    </row>
    <row r="26" spans="1:9" ht="30" x14ac:dyDescent="0.25">
      <c r="A26" s="237" t="s">
        <v>307</v>
      </c>
      <c r="B26" s="252">
        <f t="shared" ref="B26:G26" si="7">+B17/B21</f>
        <v>538.55062780269066</v>
      </c>
      <c r="C26" s="252">
        <f t="shared" si="7"/>
        <v>555.57522988505752</v>
      </c>
      <c r="D26" s="252">
        <f t="shared" si="7"/>
        <v>499.46111111111111</v>
      </c>
      <c r="E26" s="252">
        <f t="shared" si="7"/>
        <v>525.36916666666673</v>
      </c>
      <c r="F26" s="252">
        <f t="shared" si="7"/>
        <v>558.20101562500008</v>
      </c>
      <c r="G26" s="252">
        <f t="shared" si="7"/>
        <v>588.7578125</v>
      </c>
    </row>
    <row r="27" spans="1:9" ht="30" x14ac:dyDescent="0.25">
      <c r="A27" s="237" t="s">
        <v>306</v>
      </c>
      <c r="B27" s="250">
        <f>+B23/B21</f>
        <v>15.927146636771299</v>
      </c>
      <c r="C27" s="250">
        <f t="shared" ref="C27:G27" si="8">+C23/C21</f>
        <v>16.569268390804599</v>
      </c>
      <c r="D27" s="250">
        <f t="shared" si="8"/>
        <v>14.8005</v>
      </c>
      <c r="E27" s="250">
        <f t="shared" si="8"/>
        <v>15.486075000000001</v>
      </c>
      <c r="F27" s="250">
        <f t="shared" si="8"/>
        <v>15.946811718749998</v>
      </c>
      <c r="G27" s="250">
        <f t="shared" si="8"/>
        <v>16.863515624999998</v>
      </c>
    </row>
    <row r="28" spans="1:9" ht="30" x14ac:dyDescent="0.25">
      <c r="A28" s="237" t="s">
        <v>308</v>
      </c>
      <c r="B28" s="250">
        <v>108</v>
      </c>
      <c r="C28" s="250">
        <v>108</v>
      </c>
      <c r="D28" s="250">
        <v>108</v>
      </c>
      <c r="E28" s="250">
        <v>108</v>
      </c>
      <c r="F28" s="250">
        <v>108</v>
      </c>
      <c r="G28" s="250">
        <v>108</v>
      </c>
    </row>
    <row r="29" spans="1:9" ht="48.75" customHeight="1" x14ac:dyDescent="0.25">
      <c r="A29" s="237" t="s">
        <v>309</v>
      </c>
      <c r="B29" s="250">
        <f>SUM(B26:B28)</f>
        <v>662.477774439462</v>
      </c>
      <c r="C29" s="250">
        <f t="shared" ref="C29:G29" si="9">SUM(C26:C28)</f>
        <v>680.14449827586213</v>
      </c>
      <c r="D29" s="250">
        <f t="shared" si="9"/>
        <v>622.26161111111105</v>
      </c>
      <c r="E29" s="250">
        <f t="shared" si="9"/>
        <v>648.85524166666676</v>
      </c>
      <c r="F29" s="250">
        <f t="shared" si="9"/>
        <v>682.14782734375012</v>
      </c>
      <c r="G29" s="250">
        <f t="shared" si="9"/>
        <v>713.62132812499999</v>
      </c>
      <c r="I29" s="298">
        <f>+I30/B31</f>
        <v>2.9710166789702814</v>
      </c>
    </row>
    <row r="30" spans="1:9" ht="30" x14ac:dyDescent="0.25">
      <c r="A30" s="297" t="s">
        <v>260</v>
      </c>
      <c r="B30" s="250">
        <f>+TaxRates_1982_2019!N5+TaxRates_1982_2019!AA5</f>
        <v>5574.5039999999999</v>
      </c>
      <c r="C30" s="250">
        <f>+B30</f>
        <v>5574.5039999999999</v>
      </c>
      <c r="D30" s="250">
        <f t="shared" ref="D30:G30" si="10">+C30</f>
        <v>5574.5039999999999</v>
      </c>
      <c r="E30" s="250">
        <f t="shared" si="10"/>
        <v>5574.5039999999999</v>
      </c>
      <c r="F30" s="250">
        <f t="shared" si="10"/>
        <v>5574.5039999999999</v>
      </c>
      <c r="G30" s="250">
        <f t="shared" si="10"/>
        <v>5574.5039999999999</v>
      </c>
      <c r="I30" s="299">
        <v>25</v>
      </c>
    </row>
    <row r="31" spans="1:9" ht="18.75" x14ac:dyDescent="0.3">
      <c r="A31" s="295" t="s">
        <v>304</v>
      </c>
      <c r="B31" s="296">
        <f>+B30/B29</f>
        <v>8.4146279544498217</v>
      </c>
      <c r="C31" s="296">
        <f t="shared" ref="C31:G31" si="11">+C30/C29</f>
        <v>8.1960583583799238</v>
      </c>
      <c r="D31" s="296">
        <f t="shared" si="11"/>
        <v>8.958457183380089</v>
      </c>
      <c r="E31" s="296">
        <f t="shared" si="11"/>
        <v>8.5912906947953154</v>
      </c>
      <c r="F31" s="296">
        <f t="shared" si="11"/>
        <v>8.1719882062907718</v>
      </c>
      <c r="G31" s="296">
        <f t="shared" si="11"/>
        <v>7.8115714599599997</v>
      </c>
    </row>
    <row r="32" spans="1:9" ht="12" customHeight="1" x14ac:dyDescent="0.3">
      <c r="A32" s="295"/>
      <c r="B32" s="352"/>
      <c r="C32" s="352"/>
      <c r="D32" s="352"/>
      <c r="E32" s="352"/>
      <c r="F32" s="352"/>
      <c r="G32" s="352"/>
    </row>
    <row r="33" spans="1:7" ht="15" customHeight="1" x14ac:dyDescent="0.25">
      <c r="A33" s="456" t="s">
        <v>303</v>
      </c>
      <c r="B33" s="456"/>
      <c r="C33" s="456"/>
      <c r="D33" s="456"/>
      <c r="E33" s="456"/>
      <c r="F33" s="456"/>
      <c r="G33" s="456"/>
    </row>
    <row r="34" spans="1:7" x14ac:dyDescent="0.25">
      <c r="A34" s="456"/>
      <c r="B34" s="456"/>
      <c r="C34" s="456"/>
      <c r="D34" s="456"/>
      <c r="E34" s="456"/>
      <c r="F34" s="456"/>
      <c r="G34" s="456"/>
    </row>
    <row r="35" spans="1:7" x14ac:dyDescent="0.25">
      <c r="A35" s="456"/>
      <c r="B35" s="456"/>
      <c r="C35" s="456"/>
      <c r="D35" s="456"/>
      <c r="E35" s="456"/>
      <c r="F35" s="456"/>
      <c r="G35" s="456"/>
    </row>
    <row r="36" spans="1:7" x14ac:dyDescent="0.25">
      <c r="A36" s="456"/>
      <c r="B36" s="456"/>
      <c r="C36" s="456"/>
      <c r="D36" s="456"/>
      <c r="E36" s="456"/>
      <c r="F36" s="456"/>
      <c r="G36" s="456"/>
    </row>
    <row r="37" spans="1:7" x14ac:dyDescent="0.25">
      <c r="A37" s="456"/>
      <c r="B37" s="456"/>
      <c r="C37" s="456"/>
      <c r="D37" s="456"/>
      <c r="E37" s="456"/>
      <c r="F37" s="456"/>
      <c r="G37" s="456"/>
    </row>
    <row r="38" spans="1:7" ht="7.5" customHeight="1" x14ac:dyDescent="0.25"/>
  </sheetData>
  <mergeCells count="4">
    <mergeCell ref="A1:G1"/>
    <mergeCell ref="A3:G3"/>
    <mergeCell ref="A5:B5"/>
    <mergeCell ref="A33:G37"/>
  </mergeCells>
  <hyperlinks>
    <hyperlink ref="G6" r:id="rId1"/>
    <hyperlink ref="D6" r:id="rId2"/>
    <hyperlink ref="C6" r:id="rId3"/>
    <hyperlink ref="E6" r:id="rId4"/>
  </hyperlinks>
  <pageMargins left="0.2" right="0.2" top="0.25" bottom="0.25" header="0.3" footer="0.3"/>
  <pageSetup scale="85" orientation="landscape" r:id="rId5"/>
  <headerFooter>
    <oddFooter>&amp;LS. Pratt&amp;RJune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TaxRates_1982_2019</vt:lpstr>
      <vt:lpstr>61A Values_Property Tax</vt:lpstr>
      <vt:lpstr>FY2018_Utilities</vt:lpstr>
      <vt:lpstr>FY2019_Utilities</vt:lpstr>
      <vt:lpstr>FY2018_MHC</vt:lpstr>
      <vt:lpstr>FY2019_MHC</vt:lpstr>
      <vt:lpstr>FY2018_MHC!Print_Area</vt:lpstr>
      <vt:lpstr>FY2019_MHC!Print_Area</vt:lpstr>
      <vt:lpstr>FY2019_Utilities!Print_Area</vt:lpstr>
      <vt:lpstr>TaxRates_1982_2019!Print_Area</vt:lpstr>
    </vt:vector>
  </TitlesOfParts>
  <Company>The WellPoint Companies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Pratt</dc:creator>
  <cp:lastModifiedBy>Pratt, Stephen</cp:lastModifiedBy>
  <cp:lastPrinted>2019-06-25T17:17:16Z</cp:lastPrinted>
  <dcterms:created xsi:type="dcterms:W3CDTF">2012-08-27T12:10:53Z</dcterms:created>
  <dcterms:modified xsi:type="dcterms:W3CDTF">2019-06-26T17:03:35Z</dcterms:modified>
</cp:coreProperties>
</file>